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now\AppData\Local\Box\Box Edit\Documents\yTAWno5lUESk6lMetZspxg==\"/>
    </mc:Choice>
  </mc:AlternateContent>
  <xr:revisionPtr revIDLastSave="0" documentId="13_ncr:1_{AA79E06A-5DC7-44F4-863A-2AD44AD76599}" xr6:coauthVersionLast="45" xr6:coauthVersionMax="45" xr10:uidLastSave="{00000000-0000-0000-0000-000000000000}"/>
  <bookViews>
    <workbookView xWindow="26160" yWindow="2295" windowWidth="26250" windowHeight="15885" activeTab="1" xr2:uid="{CFCD28FD-D974-4123-B9B1-01AFBC7AB7AF}"/>
  </bookViews>
  <sheets>
    <sheet name="Overall Summary" sheetId="4" r:id="rId1"/>
    <sheet name="Scoring Sheet" sheetId="1" r:id="rId2"/>
    <sheet name="Slide Mounting Exp" sheetId="5" r:id="rId3"/>
    <sheet name="FIJI Scoring Info" sheetId="3" r:id="rId4"/>
    <sheet name="Injection Log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5" l="1"/>
  <c r="K3" i="5"/>
  <c r="K4" i="5"/>
  <c r="K8" i="5"/>
  <c r="K9" i="5"/>
  <c r="K10" i="5"/>
  <c r="K5" i="5"/>
  <c r="K6" i="5"/>
  <c r="K7" i="5"/>
  <c r="K11" i="5"/>
  <c r="K12" i="5"/>
  <c r="K13" i="5"/>
  <c r="K14" i="5"/>
  <c r="K15" i="5"/>
  <c r="K16" i="5"/>
  <c r="H16" i="5"/>
  <c r="H15" i="5"/>
  <c r="H14" i="5"/>
  <c r="H13" i="5"/>
  <c r="H12" i="5"/>
  <c r="H11" i="5"/>
  <c r="H7" i="5"/>
  <c r="H6" i="5"/>
  <c r="H5" i="5"/>
  <c r="H10" i="5"/>
  <c r="H9" i="5"/>
  <c r="H8" i="5"/>
  <c r="H4" i="5"/>
  <c r="H3" i="5"/>
  <c r="H2" i="5"/>
  <c r="J41" i="1"/>
  <c r="I41" i="1"/>
  <c r="L41" i="1"/>
  <c r="H4" i="1" l="1"/>
  <c r="H19" i="1"/>
  <c r="H18" i="1"/>
  <c r="H17" i="1"/>
  <c r="H16" i="1"/>
  <c r="H14" i="1"/>
  <c r="H15" i="1"/>
  <c r="K15" i="1"/>
  <c r="K16" i="1"/>
  <c r="K4" i="1" l="1"/>
  <c r="H40" i="1"/>
  <c r="H38" i="1"/>
  <c r="H39" i="1"/>
  <c r="K39" i="1"/>
  <c r="K40" i="1"/>
  <c r="H37" i="1"/>
  <c r="H36" i="1"/>
  <c r="K36" i="1"/>
  <c r="K37" i="1"/>
  <c r="H35" i="1"/>
  <c r="H34" i="1"/>
  <c r="H33" i="1"/>
  <c r="K33" i="1"/>
  <c r="H32" i="1"/>
  <c r="K32" i="1"/>
  <c r="H31" i="1"/>
  <c r="K31" i="1"/>
  <c r="H30" i="1"/>
  <c r="K30" i="1"/>
  <c r="H29" i="1"/>
  <c r="H28" i="1"/>
  <c r="K28" i="1"/>
  <c r="H27" i="1"/>
  <c r="K27" i="1"/>
  <c r="H26" i="1"/>
  <c r="K26" i="1"/>
  <c r="H25" i="1"/>
  <c r="K25" i="1"/>
  <c r="H24" i="1"/>
  <c r="H23" i="1"/>
  <c r="K24" i="1"/>
  <c r="H22" i="1"/>
  <c r="K22" i="1"/>
  <c r="H21" i="1"/>
  <c r="K21" i="1"/>
  <c r="H20" i="1"/>
  <c r="K20" i="1"/>
  <c r="K18" i="1"/>
  <c r="K19" i="1"/>
  <c r="H13" i="1"/>
  <c r="H12" i="1"/>
  <c r="K12" i="1"/>
  <c r="K13" i="1"/>
  <c r="H11" i="1"/>
  <c r="H10" i="1"/>
  <c r="H9" i="1"/>
  <c r="H8" i="1"/>
  <c r="K9" i="1"/>
  <c r="K10" i="1"/>
  <c r="H7" i="1"/>
  <c r="K7" i="1"/>
  <c r="H6" i="1"/>
  <c r="K6" i="1"/>
  <c r="H2" i="1"/>
  <c r="H3" i="1"/>
  <c r="H5" i="1"/>
  <c r="K3" i="1"/>
  <c r="H41" i="1" l="1"/>
  <c r="K11" i="1"/>
  <c r="K17" i="1"/>
  <c r="K23" i="1"/>
  <c r="K29" i="1"/>
  <c r="K34" i="1"/>
  <c r="K35" i="1"/>
  <c r="K38" i="1"/>
  <c r="K2" i="1"/>
  <c r="K5" i="1"/>
  <c r="K8" i="1"/>
  <c r="K14" i="1"/>
  <c r="K41" i="1" l="1"/>
</calcChain>
</file>

<file path=xl/sharedStrings.xml><?xml version="1.0" encoding="utf-8"?>
<sst xmlns="http://schemas.openxmlformats.org/spreadsheetml/2006/main" count="487" uniqueCount="135">
  <si>
    <t>Study Group or Arm</t>
  </si>
  <si>
    <t>Mouse ID</t>
  </si>
  <si>
    <t>Sex</t>
  </si>
  <si>
    <t>Tissue</t>
  </si>
  <si>
    <t>ROI #</t>
  </si>
  <si>
    <t>% edited cells</t>
  </si>
  <si>
    <t>DAB signal present</t>
  </si>
  <si>
    <t># Cells in ROI</t>
  </si>
  <si>
    <t>#DAB+ cells in ROI</t>
  </si>
  <si>
    <t>00267_Lutz Murray Sontheimer</t>
  </si>
  <si>
    <t>Group</t>
  </si>
  <si>
    <t>JR#</t>
  </si>
  <si>
    <t>Strain</t>
  </si>
  <si>
    <t>ID</t>
  </si>
  <si>
    <t>Injection date</t>
  </si>
  <si>
    <t>Bilateral Intra-striatal injection</t>
  </si>
  <si>
    <t>Volume to inject</t>
  </si>
  <si>
    <t>TD date</t>
  </si>
  <si>
    <t>B6.129(Cg)-Gt(ROSA)26Sortm4(ACTB-tdTomato,-EGFP)Luo/J</t>
  </si>
  <si>
    <t>M</t>
  </si>
  <si>
    <t>2 ul + 2 ul</t>
  </si>
  <si>
    <t>F</t>
  </si>
  <si>
    <t>flow rate 500 nL/min</t>
  </si>
  <si>
    <t>INJECTION COORDINATES</t>
  </si>
  <si>
    <t>Ant: + 1.0 mm from bregma and M/L +/- 2.0 mm from midline; Depth = 3.0 mm.  Rate of injection is 500 nL/min</t>
  </si>
  <si>
    <t>mTmG C20/T2</t>
  </si>
  <si>
    <t>Brain, Striatum</t>
  </si>
  <si>
    <t>yes</t>
  </si>
  <si>
    <t>no</t>
  </si>
  <si>
    <t>background pixels, not real signal</t>
  </si>
  <si>
    <t>Comment</t>
  </si>
  <si>
    <t>1 x 1 mm</t>
  </si>
  <si>
    <t>background artifact in image, not real signal</t>
  </si>
  <si>
    <t>135_1_6L</t>
  </si>
  <si>
    <t xml:space="preserve">~ ROI area </t>
  </si>
  <si>
    <t>pixels^2</t>
  </si>
  <si>
    <t>136_1_2R</t>
  </si>
  <si>
    <t>136_1_3L</t>
  </si>
  <si>
    <t>137_1_1R</t>
  </si>
  <si>
    <t>137_1_5L</t>
  </si>
  <si>
    <t>137_1_2L</t>
  </si>
  <si>
    <t>This looks like background to me</t>
  </si>
  <si>
    <t>138_1_1L</t>
  </si>
  <si>
    <t>138_1_3L</t>
  </si>
  <si>
    <t>1 x 1.5 mm</t>
  </si>
  <si>
    <t>138_1_4L</t>
  </si>
  <si>
    <t>140_HB_2L</t>
  </si>
  <si>
    <t>140_HB_3</t>
  </si>
  <si>
    <t>140_HB_1R</t>
  </si>
  <si>
    <t>141_3_1L_LB</t>
  </si>
  <si>
    <t>141_3_2R</t>
  </si>
  <si>
    <t>141_3_7L</t>
  </si>
  <si>
    <t>1 X 1.3 mm</t>
  </si>
  <si>
    <t>142_2_1R</t>
  </si>
  <si>
    <t>1 X 1.5 mm</t>
  </si>
  <si>
    <t>142_2_2L</t>
  </si>
  <si>
    <t>1 x 1.7 mm</t>
  </si>
  <si>
    <t>142_2_2R</t>
  </si>
  <si>
    <t>142_2_6L</t>
  </si>
  <si>
    <t>142_2_7R</t>
  </si>
  <si>
    <t>142_HB_2R</t>
  </si>
  <si>
    <t>142_HB_6R</t>
  </si>
  <si>
    <t>142_HB_8R</t>
  </si>
  <si>
    <t>143_3_2L</t>
  </si>
  <si>
    <t>143_3_6R</t>
  </si>
  <si>
    <t>143_3_7R</t>
  </si>
  <si>
    <t>144_3_1R</t>
  </si>
  <si>
    <t>144_3_4L</t>
  </si>
  <si>
    <t>144_3_6L</t>
  </si>
  <si>
    <t>145_6_2R</t>
  </si>
  <si>
    <t>145_6_5R</t>
  </si>
  <si>
    <t>saved png</t>
  </si>
  <si>
    <t>145_6_6R</t>
  </si>
  <si>
    <t>146_2_4R</t>
  </si>
  <si>
    <t>1 x 1.9 mm</t>
  </si>
  <si>
    <t>146_2_5L</t>
  </si>
  <si>
    <t>146_2_1R</t>
  </si>
  <si>
    <t>1 x 2.3</t>
  </si>
  <si>
    <t>H_median_radius = 10;</t>
  </si>
  <si>
    <t>DAB_gaussian_blur = 5;</t>
  </si>
  <si>
    <t>DAB_threshold = "Yen"; // try Otsu, Triangle, Yen</t>
  </si>
  <si>
    <t>min_size = 200;</t>
  </si>
  <si>
    <t>run("RGB Color");</t>
  </si>
  <si>
    <t>title = getTitle();</t>
  </si>
  <si>
    <t>//run("Colour Deconvolution", "vectors=[H DAB] hide");</t>
  </si>
  <si>
    <t>run("Colour Deconvolution2", "vectors=[H DAB] output=8bit_Transmittance simulated cross hide");</t>
  </si>
  <si>
    <t>nuc = title + "-(Colour_1)";</t>
  </si>
  <si>
    <t>DAB = title + "-(Colour_2)";</t>
  </si>
  <si>
    <t>C3 = title + "-(Colour_3)";</t>
  </si>
  <si>
    <t>/*</t>
  </si>
  <si>
    <t>selectWindow(C3);</t>
  </si>
  <si>
    <t>run("Close");</t>
  </si>
  <si>
    <t>*/</t>
  </si>
  <si>
    <t>selectWindow(nuc);</t>
  </si>
  <si>
    <t>run("Invert");</t>
  </si>
  <si>
    <t>run("Median...", "radius=&amp;H_median_radius");</t>
  </si>
  <si>
    <t>//run("Find Maxima...", "prominence=&amp;find_maxima_prominence output=Count");</t>
  </si>
  <si>
    <t>run("Find Maxima...")</t>
  </si>
  <si>
    <t>selectWindow(DAB);</t>
  </si>
  <si>
    <t>run("Gaussian Blur...", "sigma=&amp;DAB_gaussian_blur = 10;");</t>
  </si>
  <si>
    <t>setAutoThreshold(DAB_threshold + " dark no-reset");</t>
  </si>
  <si>
    <t>run("Convert to Mask");</t>
  </si>
  <si>
    <t>setOption("BlackBackground", true);</t>
  </si>
  <si>
    <t>run("Watershed");</t>
  </si>
  <si>
    <t>run("Analyze Particles...", "size=&amp;min_size-Infinity show=[Overlay Masks] summarize");</t>
  </si>
  <si>
    <t>Macro provided by Umass (Soki)</t>
  </si>
  <si>
    <t>*some particles are larger than would like in middle of ROIs if there is dense editing</t>
  </si>
  <si>
    <t>* some axon projections are being counted at cells…</t>
  </si>
  <si>
    <t>Overall this is a good approximation but not a conservative approximation</t>
  </si>
  <si>
    <t>135_1_5R</t>
  </si>
  <si>
    <t>139_2_1R</t>
  </si>
  <si>
    <t>139_2_2L</t>
  </si>
  <si>
    <t>139_2_3L</t>
  </si>
  <si>
    <t>*high background… had to manually adjust filter</t>
  </si>
  <si>
    <t>140_1_1R</t>
  </si>
  <si>
    <t>*high background… need to adjust threshold</t>
  </si>
  <si>
    <t>140_1_2R</t>
  </si>
  <si>
    <t>140_1_3L</t>
  </si>
  <si>
    <t>Brain, Cortex</t>
  </si>
  <si>
    <t>135_1_2L</t>
  </si>
  <si>
    <t>DNMT1 C20/T2</t>
  </si>
  <si>
    <t>Treatment</t>
  </si>
  <si>
    <t>136_1_6L</t>
  </si>
  <si>
    <t>yes*</t>
  </si>
  <si>
    <t>*a few positive cells</t>
  </si>
  <si>
    <t>Total</t>
  </si>
  <si>
    <t>Average # Cells in ROI</t>
  </si>
  <si>
    <t>Average #DAB+ cells in ROI</t>
  </si>
  <si>
    <t>Average % edited cells</t>
  </si>
  <si>
    <t xml:space="preserve">Slide mounted 2x </t>
  </si>
  <si>
    <t>Slide mounted 2x, near injection site</t>
  </si>
  <si>
    <t>slide only mounted 1x</t>
  </si>
  <si>
    <t>slide only mounted 1x, distant from injection site, expect lower editing % further from injection site</t>
  </si>
  <si>
    <t>Average ROI pixels^2</t>
  </si>
  <si>
    <t>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</si>
</sst>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Fill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4" fontId="0" fillId="0" borderId="0" xfId="1" applyNumberFormat="1" applyFont="1"/>
    <xf numFmtId="0" fontId="4" fillId="0" borderId="4" xfId="0" applyFont="1" applyFill="1" applyBorder="1"/>
    <xf numFmtId="0" fontId="0" fillId="0" borderId="1" xfId="0" applyFont="1" applyFill="1" applyBorder="1"/>
    <xf numFmtId="0" fontId="0" fillId="0" borderId="0" xfId="0" applyFill="1"/>
    <xf numFmtId="0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64" fontId="0" fillId="0" borderId="0" xfId="1" applyNumberFormat="1" applyFont="1" applyFill="1"/>
    <xf numFmtId="0" fontId="0" fillId="0" borderId="2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164" fontId="0" fillId="0" borderId="1" xfId="1" applyNumberFormat="1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4" xfId="0" applyFont="1" applyFill="1" applyBorder="1"/>
    <xf numFmtId="2" fontId="5" fillId="0" borderId="0" xfId="0" applyNumberFormat="1" applyFont="1" applyFill="1" applyBorder="1" applyAlignment="1">
      <alignment horizontal="center" wrapText="1"/>
    </xf>
    <xf numFmtId="1" fontId="5" fillId="0" borderId="0" xfId="1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center"/>
    </xf>
    <xf numFmtId="164" fontId="0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27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numFmt numFmtId="164" formatCode="0.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9B6F35-AAFC-490A-9F92-4C8B11BB6272}" name="Table2" displayName="Table2" ref="A1:F7" totalsRowShown="0" headerRowDxfId="26" dataDxfId="24" headerRowBorderDxfId="25" tableBorderDxfId="23">
  <autoFilter ref="A1:F7" xr:uid="{AED8E775-A427-489F-8D89-999D3DC06425}"/>
  <tableColumns count="6">
    <tableColumn id="1" xr3:uid="{7D35D202-4937-4988-A7FC-6D12579402E7}" name="Study Group or Arm" dataDxfId="22"/>
    <tableColumn id="2" xr3:uid="{4D10FBEB-D9D8-4644-AD55-400664FFBC23}" name="Sex" dataDxfId="21"/>
    <tableColumn id="11" xr3:uid="{D867E2CB-1CE1-4488-82F0-1AA9A6D012FF}" name="Average ROI pixels^2" dataDxfId="20"/>
    <tableColumn id="8" xr3:uid="{71971BFE-0BC5-4A77-B35F-43654BA1349E}" name="Average # Cells in ROI" dataDxfId="19"/>
    <tableColumn id="9" xr3:uid="{48285175-EE01-45F9-9FB7-3351982436DE}" name="Average #DAB+ cells in ROI" dataDxfId="18"/>
    <tableColumn id="10" xr3:uid="{CA7A1805-9534-4B30-B7CD-6E3A7ADD2BAB}" name="Average % edited cells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6EA9DA-420E-4459-B162-5214117A43A5}" name="Table1" displayName="Table1" ref="A1:L41" totalsRowCount="1">
  <autoFilter ref="A1:L40" xr:uid="{976074D2-C4AB-4C9F-8FFE-6DA761E248ED}"/>
  <sortState xmlns:xlrd2="http://schemas.microsoft.com/office/spreadsheetml/2017/richdata2" ref="A2:K60">
    <sortCondition ref="B1:B60"/>
  </sortState>
  <tableColumns count="12">
    <tableColumn id="1" xr3:uid="{E6DA9C90-10E2-4ED3-89A3-C4C15860285C}" name="Study Group or Arm" totalsRowLabel="Total"/>
    <tableColumn id="2" xr3:uid="{9841BDA3-B520-4200-9EE9-D622977E8254}" name="Mouse ID"/>
    <tableColumn id="3" xr3:uid="{F96DEC2F-50F7-48FC-B011-FE0F70CFE7B8}" name="Sex"/>
    <tableColumn id="4" xr3:uid="{BEA6C6FD-BB33-429F-B389-06F8510E278C}" name="Tissue"/>
    <tableColumn id="5" xr3:uid="{E3C82CBB-E9FB-4751-BEBB-0CD770A168A6}" name="ROI #"/>
    <tableColumn id="7" xr3:uid="{176D453C-5692-493F-815D-AAF9840EABB3}" name="DAB signal present"/>
    <tableColumn id="8" xr3:uid="{63616A3E-1974-4ACA-9317-85A36AD3191E}" name="~ ROI area "/>
    <tableColumn id="13" xr3:uid="{55277304-ECFF-43E7-A478-00CD82154029}" name="pixels^2" totalsRowFunction="average" dataDxfId="16" totalsRowDxfId="15" dataCellStyle="Comma"/>
    <tableColumn id="9" xr3:uid="{53FB635D-3026-406D-8E90-C631DDB973FC}" name="# Cells in ROI" totalsRowFunction="average"/>
    <tableColumn id="10" xr3:uid="{0B2D8661-07A8-49BA-8185-DFA51CA17ADF}" name="#DAB+ cells in ROI" totalsRowFunction="average"/>
    <tableColumn id="11" xr3:uid="{1F888860-4697-438E-8447-D44895DDB7BF}" name="% edited cells" totalsRowFunction="average" totalsRowDxfId="0">
      <calculatedColumnFormula>Table1[[#This Row],['#DAB+ cells in ROI]]/Table1[[#This Row],['# Cells in ROI]]*100</calculatedColumnFormula>
    </tableColumn>
    <tableColumn id="12" xr3:uid="{60E937B8-27D0-4C57-8E84-7CAF79F34285}" name="Comment" totalsRowFunction="cou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CF6467-4DBC-4E6F-B078-1362DD4ACE32}" name="Table3" displayName="Table3" ref="A1:L16" totalsRowShown="0" headerRowDxfId="14" dataDxfId="13">
  <autoFilter ref="A1:L16" xr:uid="{BDB362D3-3EDE-4C5F-A124-899DF6CA1CAB}"/>
  <sortState xmlns:xlrd2="http://schemas.microsoft.com/office/spreadsheetml/2017/richdata2" ref="A2:L16">
    <sortCondition ref="B1:B16"/>
  </sortState>
  <tableColumns count="12">
    <tableColumn id="1" xr3:uid="{C77B118F-7D68-44A0-9FF0-5FB436FECEE0}" name="Study Group or Arm" dataDxfId="12"/>
    <tableColumn id="2" xr3:uid="{1369B089-F41D-4933-A039-FEFADBD173C2}" name="Mouse ID" dataDxfId="11"/>
    <tableColumn id="3" xr3:uid="{71BB9E11-DDF6-4A46-B436-8BB2541E7693}" name="Sex" dataDxfId="10"/>
    <tableColumn id="4" xr3:uid="{078F0148-221F-4F1A-A898-FEA861DB27BB}" name="Tissue" dataDxfId="9"/>
    <tableColumn id="5" xr3:uid="{19E59363-B474-4FB8-B999-364BDD5B5EEB}" name="ROI #" dataDxfId="8"/>
    <tableColumn id="6" xr3:uid="{74AE8FBC-433C-4BD2-8C4D-EF7B26A90F24}" name="DAB signal present" dataDxfId="7"/>
    <tableColumn id="7" xr3:uid="{62613024-7D68-4144-BF4D-693CDE0180FF}" name="~ ROI area " dataDxfId="6"/>
    <tableColumn id="8" xr3:uid="{07EBC6C2-F14B-4CC1-AC16-6052A5B80C07}" name="pixels^2" dataDxfId="5" dataCellStyle="Comma"/>
    <tableColumn id="9" xr3:uid="{E89723A3-D352-4168-833F-26E1AB0B581B}" name="# Cells in ROI" dataDxfId="4"/>
    <tableColumn id="10" xr3:uid="{D650A35E-D29E-4217-9D0A-7313FC3C6308}" name="#DAB+ cells in ROI" dataDxfId="3"/>
    <tableColumn id="11" xr3:uid="{9F7E64E7-DF65-4520-9D0D-C70DC864DFE5}" name="% edited cells" dataDxfId="2">
      <calculatedColumnFormula>Table3[[#This Row],['#DAB+ cells in ROI]]/Table3[[#This Row],['# Cells in ROI]]*100</calculatedColumnFormula>
    </tableColumn>
    <tableColumn id="12" xr3:uid="{CAFEF9C2-E376-48CE-996A-F09975ED9FCB}" name="Commen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8297-1DFD-4601-80E6-366C8989DD5B}">
  <dimension ref="A1:F7"/>
  <sheetViews>
    <sheetView workbookViewId="0">
      <selection activeCell="A10" sqref="A10"/>
    </sheetView>
  </sheetViews>
  <sheetFormatPr defaultRowHeight="15" x14ac:dyDescent="0.25"/>
  <cols>
    <col min="1" max="1" width="20.5703125" customWidth="1"/>
    <col min="2" max="2" width="7.42578125" customWidth="1"/>
    <col min="3" max="3" width="12.85546875" customWidth="1"/>
    <col min="4" max="4" width="14.5703125" customWidth="1"/>
    <col min="5" max="5" width="19" customWidth="1"/>
    <col min="6" max="6" width="15.42578125" customWidth="1"/>
  </cols>
  <sheetData>
    <row r="1" spans="1:6" ht="45" x14ac:dyDescent="0.25">
      <c r="A1" s="8" t="s">
        <v>0</v>
      </c>
      <c r="B1" s="8" t="s">
        <v>2</v>
      </c>
      <c r="C1" s="36" t="s">
        <v>133</v>
      </c>
      <c r="D1" s="13" t="s">
        <v>126</v>
      </c>
      <c r="E1" s="13" t="s">
        <v>127</v>
      </c>
      <c r="F1" s="13" t="s">
        <v>128</v>
      </c>
    </row>
    <row r="2" spans="1:6" x14ac:dyDescent="0.25">
      <c r="A2" s="24" t="s">
        <v>120</v>
      </c>
      <c r="B2" s="31" t="s">
        <v>134</v>
      </c>
      <c r="C2" s="33">
        <v>23152979.611111112</v>
      </c>
      <c r="D2" s="34">
        <v>4966.5555555555557</v>
      </c>
      <c r="E2" s="34">
        <v>141.33333333333334</v>
      </c>
      <c r="F2" s="32">
        <v>2.6788612616087804</v>
      </c>
    </row>
    <row r="3" spans="1:6" x14ac:dyDescent="0.25">
      <c r="A3" s="24" t="s">
        <v>120</v>
      </c>
      <c r="B3" s="24" t="s">
        <v>19</v>
      </c>
      <c r="C3" s="25">
        <v>26426053.555555556</v>
      </c>
      <c r="D3" s="35">
        <v>4181</v>
      </c>
      <c r="E3" s="35">
        <v>11.666666666666666</v>
      </c>
      <c r="F3" s="26">
        <v>0.275352246258669</v>
      </c>
    </row>
    <row r="4" spans="1:6" x14ac:dyDescent="0.25">
      <c r="A4" s="24" t="s">
        <v>120</v>
      </c>
      <c r="B4" s="24" t="s">
        <v>21</v>
      </c>
      <c r="C4" s="25">
        <v>19879905.666666668</v>
      </c>
      <c r="D4" s="35">
        <v>5752.1111111111113</v>
      </c>
      <c r="E4" s="35">
        <v>271</v>
      </c>
      <c r="F4" s="26">
        <v>5.0823702769588914</v>
      </c>
    </row>
    <row r="5" spans="1:6" x14ac:dyDescent="0.25">
      <c r="A5" s="24" t="s">
        <v>25</v>
      </c>
      <c r="B5" s="27" t="s">
        <v>134</v>
      </c>
      <c r="C5" s="25">
        <v>31271846.80952381</v>
      </c>
      <c r="D5" s="35">
        <v>7162.8095238095239</v>
      </c>
      <c r="E5" s="35">
        <v>2301.1904761904761</v>
      </c>
      <c r="F5" s="26">
        <v>32.482112484419595</v>
      </c>
    </row>
    <row r="6" spans="1:6" x14ac:dyDescent="0.25">
      <c r="A6" s="24" t="s">
        <v>25</v>
      </c>
      <c r="B6" s="28" t="s">
        <v>19</v>
      </c>
      <c r="C6" s="29">
        <v>29566775.666666668</v>
      </c>
      <c r="D6" s="35">
        <v>6743.916666666667</v>
      </c>
      <c r="E6" s="35">
        <v>2140.5833333333335</v>
      </c>
      <c r="F6" s="26">
        <v>31.909877608174668</v>
      </c>
    </row>
    <row r="7" spans="1:6" x14ac:dyDescent="0.25">
      <c r="A7" s="24" t="s">
        <v>25</v>
      </c>
      <c r="B7" s="28" t="s">
        <v>21</v>
      </c>
      <c r="C7" s="30">
        <v>33545275</v>
      </c>
      <c r="D7" s="35">
        <v>7721.333333333333</v>
      </c>
      <c r="E7" s="35">
        <v>2515.3333333333335</v>
      </c>
      <c r="F7" s="26">
        <v>33.245092319412841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D927-C1D8-4654-AC63-8870896B9799}">
  <dimension ref="A1:L47"/>
  <sheetViews>
    <sheetView tabSelected="1" zoomScaleNormal="100" workbookViewId="0">
      <selection activeCell="F1" sqref="F1"/>
    </sheetView>
  </sheetViews>
  <sheetFormatPr defaultRowHeight="15" x14ac:dyDescent="0.25"/>
  <cols>
    <col min="1" max="1" width="18" customWidth="1"/>
    <col min="2" max="2" width="12.140625" customWidth="1"/>
    <col min="4" max="4" width="14.28515625" bestFit="1" customWidth="1"/>
    <col min="5" max="5" width="15.140625" customWidth="1"/>
    <col min="6" max="6" width="10.42578125" customWidth="1"/>
    <col min="7" max="7" width="23.42578125" customWidth="1"/>
    <col min="8" max="8" width="15" style="7" bestFit="1" customWidth="1"/>
    <col min="9" max="9" width="14.7109375" bestFit="1" customWidth="1"/>
    <col min="10" max="10" width="22.7109375" customWidth="1"/>
    <col min="11" max="11" width="22.7109375" style="1" customWidth="1"/>
    <col min="12" max="12" width="26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34</v>
      </c>
      <c r="H1" s="7" t="s">
        <v>35</v>
      </c>
      <c r="I1" t="s">
        <v>7</v>
      </c>
      <c r="J1" t="s">
        <v>8</v>
      </c>
      <c r="K1" s="1" t="s">
        <v>5</v>
      </c>
      <c r="L1" t="s">
        <v>30</v>
      </c>
    </row>
    <row r="2" spans="1:12" x14ac:dyDescent="0.25">
      <c r="A2" t="s">
        <v>120</v>
      </c>
      <c r="B2">
        <v>135</v>
      </c>
      <c r="C2" t="s">
        <v>19</v>
      </c>
      <c r="D2" t="s">
        <v>26</v>
      </c>
      <c r="E2" t="s">
        <v>109</v>
      </c>
      <c r="F2" t="s">
        <v>28</v>
      </c>
      <c r="G2" t="s">
        <v>31</v>
      </c>
      <c r="H2" s="7">
        <f>4575*4415</f>
        <v>20198625</v>
      </c>
      <c r="I2">
        <v>4139</v>
      </c>
      <c r="J2">
        <v>24</v>
      </c>
      <c r="K2" s="2">
        <f>Table1[[#This Row],['#DAB+ cells in ROI]]/Table1[[#This Row],['# Cells in ROI]]*100</f>
        <v>0.57985020536361442</v>
      </c>
      <c r="L2" t="s">
        <v>32</v>
      </c>
    </row>
    <row r="3" spans="1:12" x14ac:dyDescent="0.25">
      <c r="A3" t="s">
        <v>120</v>
      </c>
      <c r="B3">
        <v>135</v>
      </c>
      <c r="C3" t="s">
        <v>19</v>
      </c>
      <c r="D3" t="s">
        <v>26</v>
      </c>
      <c r="E3" t="s">
        <v>33</v>
      </c>
      <c r="F3" t="s">
        <v>28</v>
      </c>
      <c r="G3" t="s">
        <v>31</v>
      </c>
      <c r="H3" s="7">
        <f>4575*4415</f>
        <v>20198625</v>
      </c>
      <c r="I3">
        <v>4201</v>
      </c>
      <c r="J3">
        <v>4</v>
      </c>
      <c r="K3" s="2">
        <f>Table1[[#This Row],['#DAB+ cells in ROI]]/Table1[[#This Row],['# Cells in ROI]]*100</f>
        <v>9.5215424898833612E-2</v>
      </c>
      <c r="L3" t="s">
        <v>29</v>
      </c>
    </row>
    <row r="4" spans="1:12" x14ac:dyDescent="0.25">
      <c r="A4" t="s">
        <v>120</v>
      </c>
      <c r="B4">
        <v>135</v>
      </c>
      <c r="C4" t="s">
        <v>19</v>
      </c>
      <c r="D4" t="s">
        <v>118</v>
      </c>
      <c r="E4" t="s">
        <v>119</v>
      </c>
      <c r="F4" t="s">
        <v>28</v>
      </c>
      <c r="G4" t="s">
        <v>31</v>
      </c>
      <c r="H4" s="7">
        <f>4575*4415</f>
        <v>20198625</v>
      </c>
      <c r="I4">
        <v>3812</v>
      </c>
      <c r="J4">
        <v>4</v>
      </c>
      <c r="K4" s="2">
        <f>Table1[[#This Row],['#DAB+ cells in ROI]]/Table1[[#This Row],['# Cells in ROI]]*100</f>
        <v>0.1049317943336831</v>
      </c>
    </row>
    <row r="5" spans="1:12" x14ac:dyDescent="0.25">
      <c r="A5" t="s">
        <v>120</v>
      </c>
      <c r="B5">
        <v>136</v>
      </c>
      <c r="C5" t="s">
        <v>19</v>
      </c>
      <c r="D5" t="s">
        <v>26</v>
      </c>
      <c r="E5" t="s">
        <v>122</v>
      </c>
      <c r="F5" t="s">
        <v>28</v>
      </c>
      <c r="G5" t="s">
        <v>31</v>
      </c>
      <c r="H5" s="7">
        <f>4286*4624</f>
        <v>19818464</v>
      </c>
      <c r="I5">
        <v>4065</v>
      </c>
      <c r="J5">
        <v>10</v>
      </c>
      <c r="K5" s="2">
        <f>Table1[[#This Row],['#DAB+ cells in ROI]]/Table1[[#This Row],['# Cells in ROI]]*100</f>
        <v>0.24600246002460024</v>
      </c>
      <c r="L5" t="s">
        <v>29</v>
      </c>
    </row>
    <row r="6" spans="1:12" x14ac:dyDescent="0.25">
      <c r="A6" t="s">
        <v>120</v>
      </c>
      <c r="B6">
        <v>136</v>
      </c>
      <c r="C6" t="s">
        <v>19</v>
      </c>
      <c r="D6" t="s">
        <v>26</v>
      </c>
      <c r="E6" t="s">
        <v>36</v>
      </c>
      <c r="F6" t="s">
        <v>28</v>
      </c>
      <c r="G6" t="s">
        <v>31</v>
      </c>
      <c r="H6" s="7">
        <f>4286*4624</f>
        <v>19818464</v>
      </c>
      <c r="I6">
        <v>4305</v>
      </c>
      <c r="J6">
        <v>0</v>
      </c>
      <c r="K6" s="2">
        <f>Table1[[#This Row],['#DAB+ cells in ROI]]/Table1[[#This Row],['# Cells in ROI]]*100</f>
        <v>0</v>
      </c>
    </row>
    <row r="7" spans="1:12" x14ac:dyDescent="0.25">
      <c r="A7" t="s">
        <v>120</v>
      </c>
      <c r="B7">
        <v>136</v>
      </c>
      <c r="C7" t="s">
        <v>19</v>
      </c>
      <c r="D7" t="s">
        <v>26</v>
      </c>
      <c r="E7" t="s">
        <v>37</v>
      </c>
      <c r="F7" t="s">
        <v>28</v>
      </c>
      <c r="G7" t="s">
        <v>31</v>
      </c>
      <c r="H7" s="7">
        <f>4286*4624</f>
        <v>19818464</v>
      </c>
      <c r="I7">
        <v>4577</v>
      </c>
      <c r="J7">
        <v>1</v>
      </c>
      <c r="K7" s="2">
        <f>Table1[[#This Row],['#DAB+ cells in ROI]]/Table1[[#This Row],['# Cells in ROI]]*100</f>
        <v>2.1848372296263928E-2</v>
      </c>
    </row>
    <row r="8" spans="1:12" x14ac:dyDescent="0.25">
      <c r="A8" t="s">
        <v>120</v>
      </c>
      <c r="B8">
        <v>137</v>
      </c>
      <c r="C8" t="s">
        <v>19</v>
      </c>
      <c r="D8" t="s">
        <v>26</v>
      </c>
      <c r="E8" t="s">
        <v>38</v>
      </c>
      <c r="F8" t="s">
        <v>28</v>
      </c>
      <c r="G8" t="s">
        <v>31</v>
      </c>
      <c r="H8" s="7">
        <f>4282*4482</f>
        <v>19191924</v>
      </c>
      <c r="I8">
        <v>3980</v>
      </c>
      <c r="J8">
        <v>2</v>
      </c>
      <c r="K8" s="2">
        <f>Table1[[#This Row],['#DAB+ cells in ROI]]/Table1[[#This Row],['# Cells in ROI]]*100</f>
        <v>5.0251256281407038E-2</v>
      </c>
    </row>
    <row r="9" spans="1:12" x14ac:dyDescent="0.25">
      <c r="A9" t="s">
        <v>120</v>
      </c>
      <c r="B9">
        <v>137</v>
      </c>
      <c r="C9" t="s">
        <v>19</v>
      </c>
      <c r="D9" t="s">
        <v>26</v>
      </c>
      <c r="E9" t="s">
        <v>39</v>
      </c>
      <c r="F9" t="s">
        <v>28</v>
      </c>
      <c r="G9" t="s">
        <v>31</v>
      </c>
      <c r="H9" s="7">
        <f>4338*4722</f>
        <v>20484036</v>
      </c>
      <c r="I9">
        <v>4194</v>
      </c>
      <c r="J9">
        <v>3</v>
      </c>
      <c r="K9" s="2">
        <f>Table1[[#This Row],['#DAB+ cells in ROI]]/Table1[[#This Row],['# Cells in ROI]]*100</f>
        <v>7.1530758226037189E-2</v>
      </c>
    </row>
    <row r="10" spans="1:12" x14ac:dyDescent="0.25">
      <c r="A10" t="s">
        <v>120</v>
      </c>
      <c r="B10">
        <v>137</v>
      </c>
      <c r="C10" t="s">
        <v>19</v>
      </c>
      <c r="D10" t="s">
        <v>26</v>
      </c>
      <c r="E10" t="s">
        <v>40</v>
      </c>
      <c r="F10" t="s">
        <v>28</v>
      </c>
      <c r="G10" t="s">
        <v>31</v>
      </c>
      <c r="H10" s="7">
        <f>4282*4482</f>
        <v>19191924</v>
      </c>
      <c r="I10">
        <v>4356</v>
      </c>
      <c r="J10">
        <v>57</v>
      </c>
      <c r="K10" s="2">
        <f>Table1[[#This Row],['#DAB+ cells in ROI]]/Table1[[#This Row],['# Cells in ROI]]*100</f>
        <v>1.3085399449035813</v>
      </c>
      <c r="L10" t="s">
        <v>41</v>
      </c>
    </row>
    <row r="11" spans="1:12" x14ac:dyDescent="0.25">
      <c r="A11" t="s">
        <v>120</v>
      </c>
      <c r="B11">
        <v>138</v>
      </c>
      <c r="C11" t="s">
        <v>21</v>
      </c>
      <c r="D11" t="s">
        <v>26</v>
      </c>
      <c r="E11" t="s">
        <v>42</v>
      </c>
      <c r="F11" t="s">
        <v>123</v>
      </c>
      <c r="G11" t="s">
        <v>44</v>
      </c>
      <c r="H11" s="7">
        <f>4469*6750</f>
        <v>30165750</v>
      </c>
      <c r="I11">
        <v>6944</v>
      </c>
      <c r="J11">
        <v>21</v>
      </c>
      <c r="K11" s="2">
        <f>Table1[[#This Row],['#DAB+ cells in ROI]]/Table1[[#This Row],['# Cells in ROI]]*100</f>
        <v>0.30241935483870969</v>
      </c>
      <c r="L11" t="s">
        <v>124</v>
      </c>
    </row>
    <row r="12" spans="1:12" x14ac:dyDescent="0.25">
      <c r="A12" t="s">
        <v>120</v>
      </c>
      <c r="B12">
        <v>138</v>
      </c>
      <c r="C12" t="s">
        <v>21</v>
      </c>
      <c r="D12" t="s">
        <v>26</v>
      </c>
      <c r="E12" t="s">
        <v>43</v>
      </c>
      <c r="F12" t="s">
        <v>28</v>
      </c>
      <c r="G12" t="s">
        <v>44</v>
      </c>
      <c r="H12" s="7">
        <f>4543*6712</f>
        <v>30492616</v>
      </c>
      <c r="I12">
        <v>7530</v>
      </c>
      <c r="J12">
        <v>19</v>
      </c>
      <c r="K12" s="2">
        <f>Table1[[#This Row],['#DAB+ cells in ROI]]/Table1[[#This Row],['# Cells in ROI]]*100</f>
        <v>0.25232403718459495</v>
      </c>
    </row>
    <row r="13" spans="1:12" x14ac:dyDescent="0.25">
      <c r="A13" t="s">
        <v>120</v>
      </c>
      <c r="B13">
        <v>138</v>
      </c>
      <c r="C13" t="s">
        <v>21</v>
      </c>
      <c r="D13" t="s">
        <v>26</v>
      </c>
      <c r="E13" t="s">
        <v>45</v>
      </c>
      <c r="F13" t="s">
        <v>28</v>
      </c>
      <c r="G13" t="s">
        <v>44</v>
      </c>
      <c r="H13" s="7">
        <f>4543*6712</f>
        <v>30492616</v>
      </c>
      <c r="I13">
        <v>7570</v>
      </c>
      <c r="J13">
        <v>1</v>
      </c>
      <c r="K13" s="2">
        <f>Table1[[#This Row],['#DAB+ cells in ROI]]/Table1[[#This Row],['# Cells in ROI]]*100</f>
        <v>1.3210039630118889E-2</v>
      </c>
    </row>
    <row r="14" spans="1:12" x14ac:dyDescent="0.25">
      <c r="A14" t="s">
        <v>120</v>
      </c>
      <c r="B14">
        <v>139</v>
      </c>
      <c r="C14" t="s">
        <v>21</v>
      </c>
      <c r="D14" t="s">
        <v>26</v>
      </c>
      <c r="E14" t="s">
        <v>110</v>
      </c>
      <c r="F14" t="s">
        <v>123</v>
      </c>
      <c r="G14" t="s">
        <v>31</v>
      </c>
      <c r="H14" s="7">
        <f>4316*4703</f>
        <v>20298148</v>
      </c>
      <c r="I14">
        <v>3915</v>
      </c>
      <c r="J14">
        <v>200</v>
      </c>
      <c r="K14" s="2">
        <f>Table1[[#This Row],['#DAB+ cells in ROI]]/Table1[[#This Row],['# Cells in ROI]]*100</f>
        <v>5.1085568326947639</v>
      </c>
      <c r="L14" t="s">
        <v>113</v>
      </c>
    </row>
    <row r="15" spans="1:12" x14ac:dyDescent="0.25">
      <c r="A15" t="s">
        <v>120</v>
      </c>
      <c r="B15">
        <v>139</v>
      </c>
      <c r="C15" t="s">
        <v>21</v>
      </c>
      <c r="D15" t="s">
        <v>26</v>
      </c>
      <c r="E15" t="s">
        <v>111</v>
      </c>
      <c r="F15" t="s">
        <v>28</v>
      </c>
      <c r="G15" t="s">
        <v>31</v>
      </c>
      <c r="H15" s="7">
        <f>4316*4649</f>
        <v>20065084</v>
      </c>
      <c r="I15">
        <v>4224</v>
      </c>
      <c r="J15">
        <v>4</v>
      </c>
      <c r="K15" s="2">
        <f>Table1[[#This Row],['#DAB+ cells in ROI]]/Table1[[#This Row],['# Cells in ROI]]*100</f>
        <v>9.4696969696969696E-2</v>
      </c>
    </row>
    <row r="16" spans="1:12" x14ac:dyDescent="0.25">
      <c r="A16" t="s">
        <v>120</v>
      </c>
      <c r="B16">
        <v>139</v>
      </c>
      <c r="C16" t="s">
        <v>21</v>
      </c>
      <c r="D16" t="s">
        <v>26</v>
      </c>
      <c r="E16" t="s">
        <v>112</v>
      </c>
      <c r="F16" t="s">
        <v>28</v>
      </c>
      <c r="G16" t="s">
        <v>31</v>
      </c>
      <c r="H16" s="7">
        <f>4316*4703</f>
        <v>20298148</v>
      </c>
      <c r="I16">
        <v>4544</v>
      </c>
      <c r="J16">
        <v>11</v>
      </c>
      <c r="K16" s="2">
        <f>Table1[[#This Row],['#DAB+ cells in ROI]]/Table1[[#This Row],['# Cells in ROI]]*100</f>
        <v>0.24207746478873238</v>
      </c>
    </row>
    <row r="17" spans="1:12" x14ac:dyDescent="0.25">
      <c r="A17" t="s">
        <v>120</v>
      </c>
      <c r="B17">
        <v>140</v>
      </c>
      <c r="C17" t="s">
        <v>21</v>
      </c>
      <c r="D17" t="s">
        <v>26</v>
      </c>
      <c r="E17" t="s">
        <v>114</v>
      </c>
      <c r="F17" t="s">
        <v>123</v>
      </c>
      <c r="G17" t="s">
        <v>44</v>
      </c>
      <c r="H17" s="7">
        <f>4408*6505</f>
        <v>28674040</v>
      </c>
      <c r="I17">
        <v>5454</v>
      </c>
      <c r="J17">
        <v>1818</v>
      </c>
      <c r="K17" s="2">
        <f>Table1[[#This Row],['#DAB+ cells in ROI]]/Table1[[#This Row],['# Cells in ROI]]*100</f>
        <v>33.333333333333329</v>
      </c>
      <c r="L17" t="s">
        <v>115</v>
      </c>
    </row>
    <row r="18" spans="1:12" x14ac:dyDescent="0.25">
      <c r="A18" t="s">
        <v>120</v>
      </c>
      <c r="B18">
        <v>140</v>
      </c>
      <c r="C18" t="s">
        <v>21</v>
      </c>
      <c r="D18" t="s">
        <v>26</v>
      </c>
      <c r="E18" t="s">
        <v>116</v>
      </c>
      <c r="F18" t="s">
        <v>28</v>
      </c>
      <c r="G18" t="s">
        <v>44</v>
      </c>
      <c r="H18" s="7">
        <f>4408*6505</f>
        <v>28674040</v>
      </c>
      <c r="I18">
        <v>5883</v>
      </c>
      <c r="J18">
        <v>6</v>
      </c>
      <c r="K18" s="2">
        <f>Table1[[#This Row],['#DAB+ cells in ROI]]/Table1[[#This Row],['# Cells in ROI]]*100</f>
        <v>0.10198878123406425</v>
      </c>
    </row>
    <row r="19" spans="1:12" x14ac:dyDescent="0.25">
      <c r="A19" t="s">
        <v>120</v>
      </c>
      <c r="B19">
        <v>140</v>
      </c>
      <c r="C19" t="s">
        <v>21</v>
      </c>
      <c r="D19" t="s">
        <v>26</v>
      </c>
      <c r="E19" t="s">
        <v>117</v>
      </c>
      <c r="F19" t="s">
        <v>123</v>
      </c>
      <c r="G19" t="s">
        <v>44</v>
      </c>
      <c r="H19" s="7">
        <f>4408*6505</f>
        <v>28674040</v>
      </c>
      <c r="I19">
        <v>5705</v>
      </c>
      <c r="J19">
        <v>359</v>
      </c>
      <c r="K19" s="2">
        <f>Table1[[#This Row],['#DAB+ cells in ROI]]/Table1[[#This Row],['# Cells in ROI]]*100</f>
        <v>6.2927256792287469</v>
      </c>
      <c r="L19" t="s">
        <v>115</v>
      </c>
    </row>
    <row r="20" spans="1:12" x14ac:dyDescent="0.25">
      <c r="A20" t="s">
        <v>25</v>
      </c>
      <c r="B20">
        <v>141</v>
      </c>
      <c r="C20" t="s">
        <v>19</v>
      </c>
      <c r="D20" t="s">
        <v>26</v>
      </c>
      <c r="E20" t="s">
        <v>49</v>
      </c>
      <c r="F20" t="s">
        <v>27</v>
      </c>
      <c r="G20" t="s">
        <v>44</v>
      </c>
      <c r="H20" s="7">
        <f>4529*6785</f>
        <v>30729265</v>
      </c>
      <c r="I20">
        <v>7319</v>
      </c>
      <c r="J20">
        <v>2564</v>
      </c>
      <c r="K20" s="2">
        <f>Table1[[#This Row],['#DAB+ cells in ROI]]/Table1[[#This Row],['# Cells in ROI]]*100</f>
        <v>35.032108211504301</v>
      </c>
    </row>
    <row r="21" spans="1:12" x14ac:dyDescent="0.25">
      <c r="A21" t="s">
        <v>25</v>
      </c>
      <c r="B21">
        <v>141</v>
      </c>
      <c r="C21" t="s">
        <v>19</v>
      </c>
      <c r="D21" t="s">
        <v>26</v>
      </c>
      <c r="E21" t="s">
        <v>50</v>
      </c>
      <c r="F21" t="s">
        <v>27</v>
      </c>
      <c r="G21" t="s">
        <v>44</v>
      </c>
      <c r="H21" s="7">
        <f>4529*6785</f>
        <v>30729265</v>
      </c>
      <c r="I21">
        <v>6871</v>
      </c>
      <c r="J21">
        <v>2087</v>
      </c>
      <c r="K21" s="2">
        <f>Table1[[#This Row],['#DAB+ cells in ROI]]/Table1[[#This Row],['# Cells in ROI]]*100</f>
        <v>30.374035802648812</v>
      </c>
    </row>
    <row r="22" spans="1:12" x14ac:dyDescent="0.25">
      <c r="A22" t="s">
        <v>25</v>
      </c>
      <c r="B22">
        <v>141</v>
      </c>
      <c r="C22" t="s">
        <v>19</v>
      </c>
      <c r="D22" t="s">
        <v>26</v>
      </c>
      <c r="E22" t="s">
        <v>51</v>
      </c>
      <c r="F22" t="s">
        <v>27</v>
      </c>
      <c r="G22" t="s">
        <v>44</v>
      </c>
      <c r="H22" s="7">
        <f>4529*6785</f>
        <v>30729265</v>
      </c>
      <c r="I22">
        <v>7271</v>
      </c>
      <c r="J22">
        <v>2284</v>
      </c>
      <c r="K22" s="2">
        <f>Table1[[#This Row],['#DAB+ cells in ROI]]/Table1[[#This Row],['# Cells in ROI]]*100</f>
        <v>31.412460459359099</v>
      </c>
    </row>
    <row r="23" spans="1:12" x14ac:dyDescent="0.25">
      <c r="A23" t="s">
        <v>25</v>
      </c>
      <c r="B23">
        <v>142</v>
      </c>
      <c r="C23" t="s">
        <v>19</v>
      </c>
      <c r="D23" t="s">
        <v>26</v>
      </c>
      <c r="E23" t="s">
        <v>53</v>
      </c>
      <c r="F23" t="s">
        <v>27</v>
      </c>
      <c r="G23" t="s">
        <v>52</v>
      </c>
      <c r="H23" s="7">
        <f>4451*5596</f>
        <v>24907796</v>
      </c>
      <c r="I23">
        <v>5676</v>
      </c>
      <c r="J23">
        <v>1842</v>
      </c>
      <c r="K23" s="2">
        <f>Table1[[#This Row],['#DAB+ cells in ROI]]/Table1[[#This Row],['# Cells in ROI]]*100</f>
        <v>32.452431289640593</v>
      </c>
    </row>
    <row r="24" spans="1:12" x14ac:dyDescent="0.25">
      <c r="A24" t="s">
        <v>25</v>
      </c>
      <c r="B24">
        <v>142</v>
      </c>
      <c r="C24" t="s">
        <v>19</v>
      </c>
      <c r="D24" t="s">
        <v>26</v>
      </c>
      <c r="E24" t="s">
        <v>53</v>
      </c>
      <c r="F24" t="s">
        <v>27</v>
      </c>
      <c r="G24" t="s">
        <v>54</v>
      </c>
      <c r="H24" s="7">
        <f>4357*6578</f>
        <v>28660346</v>
      </c>
      <c r="I24">
        <v>6486</v>
      </c>
      <c r="J24">
        <v>1964</v>
      </c>
      <c r="K24" s="2">
        <f>Table1[[#This Row],['#DAB+ cells in ROI]]/Table1[[#This Row],['# Cells in ROI]]*100</f>
        <v>30.280604378661735</v>
      </c>
    </row>
    <row r="25" spans="1:12" x14ac:dyDescent="0.25">
      <c r="A25" t="s">
        <v>25</v>
      </c>
      <c r="B25">
        <v>142</v>
      </c>
      <c r="C25" t="s">
        <v>19</v>
      </c>
      <c r="D25" t="s">
        <v>26</v>
      </c>
      <c r="E25" t="s">
        <v>55</v>
      </c>
      <c r="F25" t="s">
        <v>27</v>
      </c>
      <c r="G25" t="s">
        <v>56</v>
      </c>
      <c r="H25" s="7">
        <f>4357*7954</f>
        <v>34655578</v>
      </c>
      <c r="I25">
        <v>7643</v>
      </c>
      <c r="J25">
        <v>1728</v>
      </c>
      <c r="K25" s="2">
        <f>Table1[[#This Row],['#DAB+ cells in ROI]]/Table1[[#This Row],['# Cells in ROI]]*100</f>
        <v>22.608923197697241</v>
      </c>
    </row>
    <row r="26" spans="1:12" x14ac:dyDescent="0.25">
      <c r="A26" t="s">
        <v>25</v>
      </c>
      <c r="B26">
        <v>142</v>
      </c>
      <c r="C26" t="s">
        <v>19</v>
      </c>
      <c r="D26" t="s">
        <v>26</v>
      </c>
      <c r="E26" t="s">
        <v>57</v>
      </c>
      <c r="F26" t="s">
        <v>27</v>
      </c>
      <c r="G26" t="s">
        <v>52</v>
      </c>
      <c r="H26" s="7">
        <f>4451*5596</f>
        <v>24907796</v>
      </c>
      <c r="I26">
        <v>5906</v>
      </c>
      <c r="J26">
        <v>2271</v>
      </c>
      <c r="K26" s="2">
        <f>Table1[[#This Row],['#DAB+ cells in ROI]]/Table1[[#This Row],['# Cells in ROI]]*100</f>
        <v>38.452421266508637</v>
      </c>
    </row>
    <row r="27" spans="1:12" x14ac:dyDescent="0.25">
      <c r="A27" t="s">
        <v>25</v>
      </c>
      <c r="B27">
        <v>142</v>
      </c>
      <c r="C27" t="s">
        <v>19</v>
      </c>
      <c r="D27" t="s">
        <v>26</v>
      </c>
      <c r="E27" t="s">
        <v>58</v>
      </c>
      <c r="F27" t="s">
        <v>27</v>
      </c>
      <c r="G27" t="s">
        <v>56</v>
      </c>
      <c r="H27" s="7">
        <f>4477*7279</f>
        <v>32588083</v>
      </c>
      <c r="I27">
        <v>7219</v>
      </c>
      <c r="J27">
        <v>1798</v>
      </c>
      <c r="K27" s="2">
        <f>Table1[[#This Row],['#DAB+ cells in ROI]]/Table1[[#This Row],['# Cells in ROI]]*100</f>
        <v>24.906496744701482</v>
      </c>
    </row>
    <row r="28" spans="1:12" x14ac:dyDescent="0.25">
      <c r="A28" t="s">
        <v>25</v>
      </c>
      <c r="B28">
        <v>142</v>
      </c>
      <c r="C28" t="s">
        <v>19</v>
      </c>
      <c r="D28" t="s">
        <v>26</v>
      </c>
      <c r="E28" t="s">
        <v>59</v>
      </c>
      <c r="F28" t="s">
        <v>27</v>
      </c>
      <c r="G28" t="s">
        <v>54</v>
      </c>
      <c r="H28" s="7">
        <f>4431*6666</f>
        <v>29537046</v>
      </c>
      <c r="I28">
        <v>6811</v>
      </c>
      <c r="J28">
        <v>2180</v>
      </c>
      <c r="K28" s="2">
        <f>Table1[[#This Row],['#DAB+ cells in ROI]]/Table1[[#This Row],['# Cells in ROI]]*100</f>
        <v>32.007047423285861</v>
      </c>
    </row>
    <row r="29" spans="1:12" x14ac:dyDescent="0.25">
      <c r="A29" t="s">
        <v>25</v>
      </c>
      <c r="B29">
        <v>143</v>
      </c>
      <c r="C29" t="s">
        <v>19</v>
      </c>
      <c r="D29" t="s">
        <v>26</v>
      </c>
      <c r="E29" t="s">
        <v>63</v>
      </c>
      <c r="F29" t="s">
        <v>27</v>
      </c>
      <c r="G29" t="s">
        <v>54</v>
      </c>
      <c r="H29" s="7">
        <f>4447*6548</f>
        <v>29118956</v>
      </c>
      <c r="I29">
        <v>6709</v>
      </c>
      <c r="J29">
        <v>2672</v>
      </c>
      <c r="K29" s="2">
        <f>Table1[[#This Row],['#DAB+ cells in ROI]]/Table1[[#This Row],['# Cells in ROI]]*100</f>
        <v>39.827097928156206</v>
      </c>
    </row>
    <row r="30" spans="1:12" x14ac:dyDescent="0.25">
      <c r="A30" t="s">
        <v>25</v>
      </c>
      <c r="B30">
        <v>143</v>
      </c>
      <c r="C30" t="s">
        <v>19</v>
      </c>
      <c r="D30" t="s">
        <v>26</v>
      </c>
      <c r="E30" t="s">
        <v>64</v>
      </c>
      <c r="F30" t="s">
        <v>27</v>
      </c>
      <c r="G30" t="s">
        <v>54</v>
      </c>
      <c r="H30" s="7">
        <f>4447*6548</f>
        <v>29118956</v>
      </c>
      <c r="I30">
        <v>6324</v>
      </c>
      <c r="J30">
        <v>1557</v>
      </c>
      <c r="K30" s="2">
        <f>Table1[[#This Row],['#DAB+ cells in ROI]]/Table1[[#This Row],['# Cells in ROI]]*100</f>
        <v>24.620493358633777</v>
      </c>
    </row>
    <row r="31" spans="1:12" x14ac:dyDescent="0.25">
      <c r="A31" t="s">
        <v>25</v>
      </c>
      <c r="B31">
        <v>143</v>
      </c>
      <c r="C31" t="s">
        <v>19</v>
      </c>
      <c r="D31" t="s">
        <v>26</v>
      </c>
      <c r="E31" t="s">
        <v>65</v>
      </c>
      <c r="F31" t="s">
        <v>27</v>
      </c>
      <c r="G31" t="s">
        <v>54</v>
      </c>
      <c r="H31" s="7">
        <f>4447*6548</f>
        <v>29118956</v>
      </c>
      <c r="I31">
        <v>6692</v>
      </c>
      <c r="J31">
        <v>2740</v>
      </c>
      <c r="K31" s="2">
        <f>Table1[[#This Row],['#DAB+ cells in ROI]]/Table1[[#This Row],['# Cells in ROI]]*100</f>
        <v>40.944411237298269</v>
      </c>
    </row>
    <row r="32" spans="1:12" x14ac:dyDescent="0.25">
      <c r="A32" t="s">
        <v>25</v>
      </c>
      <c r="B32">
        <v>144</v>
      </c>
      <c r="C32" t="s">
        <v>21</v>
      </c>
      <c r="D32" t="s">
        <v>26</v>
      </c>
      <c r="E32" t="s">
        <v>66</v>
      </c>
      <c r="F32" t="s">
        <v>27</v>
      </c>
      <c r="G32" t="s">
        <v>54</v>
      </c>
      <c r="H32" s="7">
        <f>4439*6699</f>
        <v>29736861</v>
      </c>
      <c r="I32">
        <v>6782</v>
      </c>
      <c r="J32">
        <v>3388</v>
      </c>
      <c r="K32" s="2">
        <f>Table1[[#This Row],['#DAB+ cells in ROI]]/Table1[[#This Row],['# Cells in ROI]]*100</f>
        <v>49.955765260984961</v>
      </c>
    </row>
    <row r="33" spans="1:12" x14ac:dyDescent="0.25">
      <c r="A33" t="s">
        <v>25</v>
      </c>
      <c r="B33">
        <v>144</v>
      </c>
      <c r="C33" t="s">
        <v>21</v>
      </c>
      <c r="D33" t="s">
        <v>26</v>
      </c>
      <c r="E33" t="s">
        <v>67</v>
      </c>
      <c r="F33" t="s">
        <v>27</v>
      </c>
      <c r="G33" t="s">
        <v>54</v>
      </c>
      <c r="H33" s="7">
        <f>4439*6699</f>
        <v>29736861</v>
      </c>
      <c r="I33">
        <v>6803</v>
      </c>
      <c r="J33">
        <v>2710</v>
      </c>
      <c r="K33" s="2">
        <f>Table1[[#This Row],['#DAB+ cells in ROI]]/Table1[[#This Row],['# Cells in ROI]]*100</f>
        <v>39.835366749963249</v>
      </c>
    </row>
    <row r="34" spans="1:12" x14ac:dyDescent="0.25">
      <c r="A34" t="s">
        <v>25</v>
      </c>
      <c r="B34">
        <v>144</v>
      </c>
      <c r="C34" t="s">
        <v>21</v>
      </c>
      <c r="D34" t="s">
        <v>26</v>
      </c>
      <c r="E34" t="s">
        <v>68</v>
      </c>
      <c r="F34" t="s">
        <v>27</v>
      </c>
      <c r="G34" t="s">
        <v>54</v>
      </c>
      <c r="H34" s="7">
        <f>4439*6699</f>
        <v>29736861</v>
      </c>
      <c r="I34">
        <v>6989</v>
      </c>
      <c r="J34">
        <v>2842</v>
      </c>
      <c r="K34" s="2">
        <f>Table1[[#This Row],['#DAB+ cells in ROI]]/Table1[[#This Row],['# Cells in ROI]]*100</f>
        <v>40.663900414937757</v>
      </c>
    </row>
    <row r="35" spans="1:12" x14ac:dyDescent="0.25">
      <c r="A35" t="s">
        <v>25</v>
      </c>
      <c r="B35">
        <v>145</v>
      </c>
      <c r="C35" t="s">
        <v>21</v>
      </c>
      <c r="D35" t="s">
        <v>26</v>
      </c>
      <c r="E35" t="s">
        <v>69</v>
      </c>
      <c r="F35" t="s">
        <v>27</v>
      </c>
      <c r="G35" t="s">
        <v>54</v>
      </c>
      <c r="H35" s="7">
        <f>4420*6621</f>
        <v>29264820</v>
      </c>
      <c r="I35">
        <v>7462</v>
      </c>
      <c r="J35">
        <v>2301</v>
      </c>
      <c r="K35" s="2">
        <f>Table1[[#This Row],['#DAB+ cells in ROI]]/Table1[[#This Row],['# Cells in ROI]]*100</f>
        <v>30.836236933797913</v>
      </c>
    </row>
    <row r="36" spans="1:12" x14ac:dyDescent="0.25">
      <c r="A36" t="s">
        <v>25</v>
      </c>
      <c r="B36">
        <v>145</v>
      </c>
      <c r="C36" t="s">
        <v>21</v>
      </c>
      <c r="D36" t="s">
        <v>26</v>
      </c>
      <c r="E36" t="s">
        <v>70</v>
      </c>
      <c r="F36" t="s">
        <v>27</v>
      </c>
      <c r="G36" t="s">
        <v>54</v>
      </c>
      <c r="H36" s="7">
        <f>4413*6518</f>
        <v>28763934</v>
      </c>
      <c r="I36">
        <v>7346</v>
      </c>
      <c r="J36">
        <v>2183</v>
      </c>
      <c r="K36" s="2">
        <f>Table1[[#This Row],['#DAB+ cells in ROI]]/Table1[[#This Row],['# Cells in ROI]]*100</f>
        <v>29.716852708957255</v>
      </c>
      <c r="L36" t="s">
        <v>71</v>
      </c>
    </row>
    <row r="37" spans="1:12" x14ac:dyDescent="0.25">
      <c r="A37" t="s">
        <v>25</v>
      </c>
      <c r="B37">
        <v>145</v>
      </c>
      <c r="C37" t="s">
        <v>21</v>
      </c>
      <c r="D37" t="s">
        <v>26</v>
      </c>
      <c r="E37" t="s">
        <v>72</v>
      </c>
      <c r="F37" t="s">
        <v>27</v>
      </c>
      <c r="G37" t="s">
        <v>54</v>
      </c>
      <c r="H37" s="7">
        <f>4458*6676</f>
        <v>29761608</v>
      </c>
      <c r="I37">
        <v>7586</v>
      </c>
      <c r="J37">
        <v>2095</v>
      </c>
      <c r="K37" s="2">
        <f>Table1[[#This Row],['#DAB+ cells in ROI]]/Table1[[#This Row],['# Cells in ROI]]*100</f>
        <v>27.616662272607435</v>
      </c>
    </row>
    <row r="38" spans="1:12" x14ac:dyDescent="0.25">
      <c r="A38" t="s">
        <v>25</v>
      </c>
      <c r="B38">
        <v>146</v>
      </c>
      <c r="C38" t="s">
        <v>21</v>
      </c>
      <c r="D38" t="s">
        <v>26</v>
      </c>
      <c r="E38" t="s">
        <v>73</v>
      </c>
      <c r="F38" t="s">
        <v>27</v>
      </c>
      <c r="G38" t="s">
        <v>74</v>
      </c>
      <c r="H38" s="7">
        <f>4373*9978</f>
        <v>43633794</v>
      </c>
      <c r="I38">
        <v>8625</v>
      </c>
      <c r="J38">
        <v>2655</v>
      </c>
      <c r="K38" s="2">
        <f>Table1[[#This Row],['#DAB+ cells in ROI]]/Table1[[#This Row],['# Cells in ROI]]*100</f>
        <v>30.782608695652176</v>
      </c>
    </row>
    <row r="39" spans="1:12" x14ac:dyDescent="0.25">
      <c r="A39" t="s">
        <v>25</v>
      </c>
      <c r="B39">
        <v>146</v>
      </c>
      <c r="C39" t="s">
        <v>21</v>
      </c>
      <c r="D39" t="s">
        <v>26</v>
      </c>
      <c r="E39" t="s">
        <v>75</v>
      </c>
      <c r="F39" t="s">
        <v>27</v>
      </c>
      <c r="G39" t="s">
        <v>74</v>
      </c>
      <c r="H39" s="7">
        <f>4467*8426</f>
        <v>37638942</v>
      </c>
      <c r="I39">
        <v>8439</v>
      </c>
      <c r="J39">
        <v>2041</v>
      </c>
      <c r="K39" s="2">
        <f>Table1[[#This Row],['#DAB+ cells in ROI]]/Table1[[#This Row],['# Cells in ROI]]*100</f>
        <v>24.18533001540467</v>
      </c>
    </row>
    <row r="40" spans="1:12" x14ac:dyDescent="0.25">
      <c r="A40" t="s">
        <v>25</v>
      </c>
      <c r="B40">
        <v>146</v>
      </c>
      <c r="C40" t="s">
        <v>21</v>
      </c>
      <c r="D40" t="s">
        <v>26</v>
      </c>
      <c r="E40" t="s">
        <v>76</v>
      </c>
      <c r="F40" t="s">
        <v>27</v>
      </c>
      <c r="G40" t="s">
        <v>77</v>
      </c>
      <c r="H40" s="7">
        <f>4373*9978</f>
        <v>43633794</v>
      </c>
      <c r="I40">
        <v>9460</v>
      </c>
      <c r="J40">
        <v>2423</v>
      </c>
      <c r="K40" s="2">
        <f>Table1[[#This Row],['#DAB+ cells in ROI]]/Table1[[#This Row],['# Cells in ROI]]*100</f>
        <v>25.613107822410146</v>
      </c>
    </row>
    <row r="41" spans="1:12" x14ac:dyDescent="0.25">
      <c r="A41" t="s">
        <v>125</v>
      </c>
      <c r="H41" s="12">
        <f>SUBTOTAL(101,Table1[pixels^2])</f>
        <v>27524677.333333332</v>
      </c>
      <c r="I41">
        <f>SUBTOTAL(101,Table1['# Cells in ROI])</f>
        <v>6149.1538461538457</v>
      </c>
      <c r="J41">
        <f>SUBTOTAL(101,Table1['#DAB+ cells in ROI])</f>
        <v>1304.3333333333333</v>
      </c>
      <c r="K41" s="2">
        <f>SUBTOTAL(101,Table1[% edited cells])</f>
        <v>18.726765766199222</v>
      </c>
      <c r="L41">
        <f>SUBTOTAL(103,Table1[Comment])</f>
        <v>9</v>
      </c>
    </row>
    <row r="42" spans="1:12" x14ac:dyDescent="0.25">
      <c r="K42" s="2"/>
    </row>
    <row r="43" spans="1:12" x14ac:dyDescent="0.25">
      <c r="K43" s="2"/>
    </row>
    <row r="44" spans="1:12" x14ac:dyDescent="0.25">
      <c r="K44" s="11"/>
    </row>
    <row r="45" spans="1:12" x14ac:dyDescent="0.25">
      <c r="K45" s="11"/>
    </row>
    <row r="46" spans="1:12" x14ac:dyDescent="0.25">
      <c r="K46" s="11"/>
    </row>
    <row r="47" spans="1:12" x14ac:dyDescent="0.25">
      <c r="K47" s="11"/>
    </row>
  </sheetData>
  <phoneticPr fontId="3" type="noConversion"/>
  <pageMargins left="0.7" right="0.7" top="0.75" bottom="0.75" header="0.3" footer="0.3"/>
  <pageSetup orientation="portrait" r:id="rId1"/>
  <ignoredErrors>
    <ignoredError sqref="H9 H15 H39" 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76DA-9A34-4407-8BAA-DF3BBECF37CB}">
  <dimension ref="A1:L16"/>
  <sheetViews>
    <sheetView workbookViewId="0">
      <selection activeCell="L10" sqref="L10"/>
    </sheetView>
  </sheetViews>
  <sheetFormatPr defaultRowHeight="15" x14ac:dyDescent="0.25"/>
  <cols>
    <col min="1" max="1" width="20.5703125" style="10" customWidth="1"/>
    <col min="2" max="2" width="5.7109375" style="10" customWidth="1"/>
    <col min="3" max="3" width="6.42578125" style="10" bestFit="1" customWidth="1"/>
    <col min="4" max="4" width="14.28515625" style="10" bestFit="1" customWidth="1"/>
    <col min="5" max="5" width="10.5703125" style="10" bestFit="1" customWidth="1"/>
    <col min="6" max="6" width="7.5703125" style="10" customWidth="1"/>
    <col min="7" max="7" width="12.42578125" style="10" customWidth="1"/>
    <col min="8" max="8" width="14.42578125" style="10" customWidth="1"/>
    <col min="9" max="9" width="14.5703125" style="14" customWidth="1"/>
    <col min="10" max="10" width="19" style="14" customWidth="1"/>
    <col min="11" max="11" width="15.42578125" style="14" customWidth="1"/>
    <col min="12" max="12" width="45.5703125" style="10" bestFit="1" customWidth="1"/>
    <col min="13" max="16384" width="9.140625" style="10"/>
  </cols>
  <sheetData>
    <row r="1" spans="1:12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6</v>
      </c>
      <c r="G1" s="10" t="s">
        <v>34</v>
      </c>
      <c r="H1" s="16" t="s">
        <v>35</v>
      </c>
      <c r="I1" s="14" t="s">
        <v>7</v>
      </c>
      <c r="J1" s="14" t="s">
        <v>8</v>
      </c>
      <c r="K1" s="14" t="s">
        <v>5</v>
      </c>
      <c r="L1" s="10" t="s">
        <v>30</v>
      </c>
    </row>
    <row r="2" spans="1:12" x14ac:dyDescent="0.25">
      <c r="A2" s="17" t="s">
        <v>120</v>
      </c>
      <c r="B2" s="18">
        <v>140</v>
      </c>
      <c r="C2" s="19" t="s">
        <v>21</v>
      </c>
      <c r="D2" s="9" t="s">
        <v>26</v>
      </c>
      <c r="E2" s="9" t="s">
        <v>46</v>
      </c>
      <c r="F2" s="9" t="s">
        <v>28</v>
      </c>
      <c r="G2" s="9" t="s">
        <v>44</v>
      </c>
      <c r="H2" s="20">
        <f>4437*6562</f>
        <v>29115594</v>
      </c>
      <c r="I2" s="23">
        <v>5063</v>
      </c>
      <c r="J2" s="23">
        <v>34</v>
      </c>
      <c r="K2" s="6">
        <f>Table3[[#This Row],['#DAB+ cells in ROI]]/Table3[[#This Row],['# Cells in ROI]]*100</f>
        <v>0.67153861347027455</v>
      </c>
      <c r="L2" s="21" t="s">
        <v>131</v>
      </c>
    </row>
    <row r="3" spans="1:12" x14ac:dyDescent="0.25">
      <c r="A3" s="17" t="s">
        <v>120</v>
      </c>
      <c r="B3" s="18">
        <v>140</v>
      </c>
      <c r="C3" s="19" t="s">
        <v>21</v>
      </c>
      <c r="D3" s="9" t="s">
        <v>26</v>
      </c>
      <c r="E3" s="9" t="s">
        <v>47</v>
      </c>
      <c r="F3" s="9" t="s">
        <v>28</v>
      </c>
      <c r="G3" s="9" t="s">
        <v>44</v>
      </c>
      <c r="H3" s="20">
        <f>4437*6562</f>
        <v>29115594</v>
      </c>
      <c r="I3" s="23">
        <v>5961</v>
      </c>
      <c r="J3" s="23">
        <v>28</v>
      </c>
      <c r="K3" s="6">
        <f>Table3[[#This Row],['#DAB+ cells in ROI]]/Table3[[#This Row],['# Cells in ROI]]*100</f>
        <v>0.4697198456634793</v>
      </c>
      <c r="L3" s="21" t="s">
        <v>131</v>
      </c>
    </row>
    <row r="4" spans="1:12" x14ac:dyDescent="0.25">
      <c r="A4" s="17" t="s">
        <v>120</v>
      </c>
      <c r="B4" s="18">
        <v>140</v>
      </c>
      <c r="C4" s="19" t="s">
        <v>21</v>
      </c>
      <c r="D4" s="9" t="s">
        <v>26</v>
      </c>
      <c r="E4" s="9" t="s">
        <v>48</v>
      </c>
      <c r="F4" s="9" t="s">
        <v>28</v>
      </c>
      <c r="G4" s="9" t="s">
        <v>44</v>
      </c>
      <c r="H4" s="20">
        <f>4437*6562</f>
        <v>29115594</v>
      </c>
      <c r="I4" s="23">
        <v>5170</v>
      </c>
      <c r="J4" s="23">
        <v>382</v>
      </c>
      <c r="K4" s="6">
        <f>Table3[[#This Row],['#DAB+ cells in ROI]]/Table3[[#This Row],['# Cells in ROI]]*100</f>
        <v>7.388781431334623</v>
      </c>
      <c r="L4" s="21" t="s">
        <v>131</v>
      </c>
    </row>
    <row r="5" spans="1:12" x14ac:dyDescent="0.25">
      <c r="A5" s="17" t="s">
        <v>120</v>
      </c>
      <c r="B5" s="9">
        <v>140</v>
      </c>
      <c r="C5" s="9" t="s">
        <v>21</v>
      </c>
      <c r="D5" s="9" t="s">
        <v>26</v>
      </c>
      <c r="E5" s="9" t="s">
        <v>114</v>
      </c>
      <c r="F5" s="9" t="s">
        <v>123</v>
      </c>
      <c r="G5" s="9" t="s">
        <v>44</v>
      </c>
      <c r="H5" s="20">
        <f>4408*6505</f>
        <v>28674040</v>
      </c>
      <c r="I5" s="23">
        <v>5454</v>
      </c>
      <c r="J5" s="23">
        <v>1818</v>
      </c>
      <c r="K5" s="6">
        <f>Table3[[#This Row],['#DAB+ cells in ROI]]/Table3[[#This Row],['# Cells in ROI]]*100</f>
        <v>33.333333333333329</v>
      </c>
      <c r="L5" s="22" t="s">
        <v>129</v>
      </c>
    </row>
    <row r="6" spans="1:12" x14ac:dyDescent="0.25">
      <c r="A6" s="17" t="s">
        <v>120</v>
      </c>
      <c r="B6" s="9">
        <v>140</v>
      </c>
      <c r="C6" s="9" t="s">
        <v>21</v>
      </c>
      <c r="D6" s="9" t="s">
        <v>26</v>
      </c>
      <c r="E6" s="9" t="s">
        <v>116</v>
      </c>
      <c r="F6" s="9" t="s">
        <v>28</v>
      </c>
      <c r="G6" s="9" t="s">
        <v>44</v>
      </c>
      <c r="H6" s="20">
        <f>4408*6505</f>
        <v>28674040</v>
      </c>
      <c r="I6" s="23">
        <v>5883</v>
      </c>
      <c r="J6" s="23">
        <v>6</v>
      </c>
      <c r="K6" s="6">
        <f>Table3[[#This Row],['#DAB+ cells in ROI]]/Table3[[#This Row],['# Cells in ROI]]*100</f>
        <v>0.10198878123406425</v>
      </c>
      <c r="L6" s="22" t="s">
        <v>129</v>
      </c>
    </row>
    <row r="7" spans="1:12" x14ac:dyDescent="0.25">
      <c r="A7" s="17" t="s">
        <v>120</v>
      </c>
      <c r="B7" s="9">
        <v>140</v>
      </c>
      <c r="C7" s="9" t="s">
        <v>21</v>
      </c>
      <c r="D7" s="9" t="s">
        <v>26</v>
      </c>
      <c r="E7" s="9" t="s">
        <v>117</v>
      </c>
      <c r="F7" s="9" t="s">
        <v>123</v>
      </c>
      <c r="G7" s="9" t="s">
        <v>44</v>
      </c>
      <c r="H7" s="20">
        <f>4408*6505</f>
        <v>28674040</v>
      </c>
      <c r="I7" s="23">
        <v>5705</v>
      </c>
      <c r="J7" s="23">
        <v>359</v>
      </c>
      <c r="K7" s="6">
        <f>Table3[[#This Row],['#DAB+ cells in ROI]]/Table3[[#This Row],['# Cells in ROI]]*100</f>
        <v>6.2927256792287469</v>
      </c>
      <c r="L7" s="22" t="s">
        <v>129</v>
      </c>
    </row>
    <row r="8" spans="1:12" x14ac:dyDescent="0.25">
      <c r="A8" s="17" t="s">
        <v>25</v>
      </c>
      <c r="B8" s="18">
        <v>142</v>
      </c>
      <c r="C8" s="19" t="s">
        <v>19</v>
      </c>
      <c r="D8" s="9" t="s">
        <v>26</v>
      </c>
      <c r="E8" s="9" t="s">
        <v>60</v>
      </c>
      <c r="F8" s="9" t="s">
        <v>27</v>
      </c>
      <c r="G8" s="9" t="s">
        <v>52</v>
      </c>
      <c r="H8" s="20">
        <f>4526*5801</f>
        <v>26255326</v>
      </c>
      <c r="I8" s="23">
        <v>4999</v>
      </c>
      <c r="J8" s="23">
        <v>720</v>
      </c>
      <c r="K8" s="6">
        <f>Table3[[#This Row],['#DAB+ cells in ROI]]/Table3[[#This Row],['# Cells in ROI]]*100</f>
        <v>14.402880576115223</v>
      </c>
      <c r="L8" s="21" t="s">
        <v>132</v>
      </c>
    </row>
    <row r="9" spans="1:12" x14ac:dyDescent="0.25">
      <c r="A9" s="17" t="s">
        <v>25</v>
      </c>
      <c r="B9" s="18">
        <v>142</v>
      </c>
      <c r="C9" s="19" t="s">
        <v>19</v>
      </c>
      <c r="D9" s="9" t="s">
        <v>26</v>
      </c>
      <c r="E9" s="9" t="s">
        <v>61</v>
      </c>
      <c r="F9" s="9" t="s">
        <v>27</v>
      </c>
      <c r="G9" s="9" t="s">
        <v>44</v>
      </c>
      <c r="H9" s="20">
        <f>4562*6671</f>
        <v>30433102</v>
      </c>
      <c r="I9" s="23">
        <v>5659</v>
      </c>
      <c r="J9" s="23">
        <v>639</v>
      </c>
      <c r="K9" s="6">
        <f>Table3[[#This Row],['#DAB+ cells in ROI]]/Table3[[#This Row],['# Cells in ROI]]*100</f>
        <v>11.291747658596925</v>
      </c>
      <c r="L9" s="21" t="s">
        <v>132</v>
      </c>
    </row>
    <row r="10" spans="1:12" x14ac:dyDescent="0.25">
      <c r="A10" s="17" t="s">
        <v>25</v>
      </c>
      <c r="B10" s="18">
        <v>142</v>
      </c>
      <c r="C10" s="19" t="s">
        <v>19</v>
      </c>
      <c r="D10" s="9" t="s">
        <v>26</v>
      </c>
      <c r="E10" s="9" t="s">
        <v>62</v>
      </c>
      <c r="F10" s="9" t="s">
        <v>27</v>
      </c>
      <c r="G10" s="9" t="s">
        <v>44</v>
      </c>
      <c r="H10" s="20">
        <f>4562*6671</f>
        <v>30433102</v>
      </c>
      <c r="I10" s="23">
        <v>5838</v>
      </c>
      <c r="J10" s="23">
        <v>681</v>
      </c>
      <c r="K10" s="6">
        <f>Table3[[#This Row],['#DAB+ cells in ROI]]/Table3[[#This Row],['# Cells in ROI]]*100</f>
        <v>11.664953751284687</v>
      </c>
      <c r="L10" s="21" t="s">
        <v>132</v>
      </c>
    </row>
    <row r="11" spans="1:12" x14ac:dyDescent="0.25">
      <c r="A11" s="10" t="s">
        <v>25</v>
      </c>
      <c r="B11" s="10">
        <v>142</v>
      </c>
      <c r="C11" s="10" t="s">
        <v>19</v>
      </c>
      <c r="D11" s="10" t="s">
        <v>26</v>
      </c>
      <c r="E11" s="10" t="s">
        <v>53</v>
      </c>
      <c r="F11" s="10" t="s">
        <v>27</v>
      </c>
      <c r="G11" s="10" t="s">
        <v>52</v>
      </c>
      <c r="H11" s="16">
        <f>4451*5596</f>
        <v>24907796</v>
      </c>
      <c r="I11" s="14">
        <v>5676</v>
      </c>
      <c r="J11" s="14">
        <v>1842</v>
      </c>
      <c r="K11" s="5">
        <f>Table3[[#This Row],['#DAB+ cells in ROI]]/Table3[[#This Row],['# Cells in ROI]]*100</f>
        <v>32.452431289640593</v>
      </c>
      <c r="L11" s="15" t="s">
        <v>130</v>
      </c>
    </row>
    <row r="12" spans="1:12" x14ac:dyDescent="0.25">
      <c r="A12" s="10" t="s">
        <v>25</v>
      </c>
      <c r="B12" s="10">
        <v>142</v>
      </c>
      <c r="C12" s="10" t="s">
        <v>19</v>
      </c>
      <c r="D12" s="10" t="s">
        <v>26</v>
      </c>
      <c r="E12" s="10" t="s">
        <v>53</v>
      </c>
      <c r="F12" s="10" t="s">
        <v>27</v>
      </c>
      <c r="G12" s="10" t="s">
        <v>54</v>
      </c>
      <c r="H12" s="16">
        <f>4357*6578</f>
        <v>28660346</v>
      </c>
      <c r="I12" s="14">
        <v>6486</v>
      </c>
      <c r="J12" s="14">
        <v>1964</v>
      </c>
      <c r="K12" s="5">
        <f>Table3[[#This Row],['#DAB+ cells in ROI]]/Table3[[#This Row],['# Cells in ROI]]*100</f>
        <v>30.280604378661735</v>
      </c>
      <c r="L12" s="15" t="s">
        <v>130</v>
      </c>
    </row>
    <row r="13" spans="1:12" x14ac:dyDescent="0.25">
      <c r="A13" s="10" t="s">
        <v>25</v>
      </c>
      <c r="B13" s="10">
        <v>142</v>
      </c>
      <c r="C13" s="10" t="s">
        <v>19</v>
      </c>
      <c r="D13" s="10" t="s">
        <v>26</v>
      </c>
      <c r="E13" s="10" t="s">
        <v>55</v>
      </c>
      <c r="F13" s="10" t="s">
        <v>27</v>
      </c>
      <c r="G13" s="10" t="s">
        <v>56</v>
      </c>
      <c r="H13" s="16">
        <f>4357*7954</f>
        <v>34655578</v>
      </c>
      <c r="I13" s="14">
        <v>7643</v>
      </c>
      <c r="J13" s="14">
        <v>1728</v>
      </c>
      <c r="K13" s="5">
        <f>Table3[[#This Row],['#DAB+ cells in ROI]]/Table3[[#This Row],['# Cells in ROI]]*100</f>
        <v>22.608923197697241</v>
      </c>
      <c r="L13" s="15" t="s">
        <v>130</v>
      </c>
    </row>
    <row r="14" spans="1:12" x14ac:dyDescent="0.25">
      <c r="A14" s="10" t="s">
        <v>25</v>
      </c>
      <c r="B14" s="10">
        <v>142</v>
      </c>
      <c r="C14" s="10" t="s">
        <v>19</v>
      </c>
      <c r="D14" s="10" t="s">
        <v>26</v>
      </c>
      <c r="E14" s="10" t="s">
        <v>57</v>
      </c>
      <c r="F14" s="10" t="s">
        <v>27</v>
      </c>
      <c r="G14" s="10" t="s">
        <v>52</v>
      </c>
      <c r="H14" s="16">
        <f>4451*5596</f>
        <v>24907796</v>
      </c>
      <c r="I14" s="14">
        <v>5906</v>
      </c>
      <c r="J14" s="14">
        <v>2271</v>
      </c>
      <c r="K14" s="5">
        <f>Table3[[#This Row],['#DAB+ cells in ROI]]/Table3[[#This Row],['# Cells in ROI]]*100</f>
        <v>38.452421266508637</v>
      </c>
      <c r="L14" s="15" t="s">
        <v>130</v>
      </c>
    </row>
    <row r="15" spans="1:12" x14ac:dyDescent="0.25">
      <c r="A15" s="10" t="s">
        <v>25</v>
      </c>
      <c r="B15" s="10">
        <v>142</v>
      </c>
      <c r="C15" s="10" t="s">
        <v>19</v>
      </c>
      <c r="D15" s="10" t="s">
        <v>26</v>
      </c>
      <c r="E15" s="10" t="s">
        <v>58</v>
      </c>
      <c r="F15" s="10" t="s">
        <v>27</v>
      </c>
      <c r="G15" s="10" t="s">
        <v>56</v>
      </c>
      <c r="H15" s="16">
        <f>4477*7279</f>
        <v>32588083</v>
      </c>
      <c r="I15" s="14">
        <v>7219</v>
      </c>
      <c r="J15" s="14">
        <v>1798</v>
      </c>
      <c r="K15" s="5">
        <f>Table3[[#This Row],['#DAB+ cells in ROI]]/Table3[[#This Row],['# Cells in ROI]]*100</f>
        <v>24.906496744701482</v>
      </c>
      <c r="L15" s="15" t="s">
        <v>130</v>
      </c>
    </row>
    <row r="16" spans="1:12" x14ac:dyDescent="0.25">
      <c r="A16" s="10" t="s">
        <v>25</v>
      </c>
      <c r="B16" s="10">
        <v>142</v>
      </c>
      <c r="C16" s="10" t="s">
        <v>19</v>
      </c>
      <c r="D16" s="10" t="s">
        <v>26</v>
      </c>
      <c r="E16" s="10" t="s">
        <v>59</v>
      </c>
      <c r="F16" s="10" t="s">
        <v>27</v>
      </c>
      <c r="G16" s="10" t="s">
        <v>54</v>
      </c>
      <c r="H16" s="16">
        <f>4431*6666</f>
        <v>29537046</v>
      </c>
      <c r="I16" s="14">
        <v>6811</v>
      </c>
      <c r="J16" s="14">
        <v>2180</v>
      </c>
      <c r="K16" s="5">
        <f>Table3[[#This Row],['#DAB+ cells in ROI]]/Table3[[#This Row],['# Cells in ROI]]*100</f>
        <v>32.007047423285861</v>
      </c>
      <c r="L16" s="15" t="s">
        <v>130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2627-EEA2-43AF-B51B-685F69BC49A1}">
  <dimension ref="A1:A43"/>
  <sheetViews>
    <sheetView topLeftCell="A11" workbookViewId="0">
      <selection sqref="A1:A43"/>
    </sheetView>
  </sheetViews>
  <sheetFormatPr defaultRowHeight="15" x14ac:dyDescent="0.25"/>
  <cols>
    <col min="1" max="1" width="32.42578125" customWidth="1"/>
  </cols>
  <sheetData>
    <row r="1" spans="1:1" x14ac:dyDescent="0.25">
      <c r="A1" t="s">
        <v>105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93</v>
      </c>
    </row>
    <row r="26" spans="1:1" x14ac:dyDescent="0.25">
      <c r="A26" t="s">
        <v>96</v>
      </c>
    </row>
    <row r="27" spans="1:1" x14ac:dyDescent="0.25">
      <c r="A27" t="s">
        <v>97</v>
      </c>
    </row>
    <row r="29" spans="1:1" x14ac:dyDescent="0.25">
      <c r="A29" t="s">
        <v>98</v>
      </c>
    </row>
    <row r="30" spans="1:1" x14ac:dyDescent="0.25">
      <c r="A30" t="s">
        <v>94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  <row r="34" spans="1:1" x14ac:dyDescent="0.25">
      <c r="A34" t="s">
        <v>102</v>
      </c>
    </row>
    <row r="35" spans="1:1" x14ac:dyDescent="0.25">
      <c r="A35" t="s">
        <v>101</v>
      </c>
    </row>
    <row r="36" spans="1:1" x14ac:dyDescent="0.25">
      <c r="A36" t="s">
        <v>103</v>
      </c>
    </row>
    <row r="37" spans="1:1" x14ac:dyDescent="0.25">
      <c r="A37" t="s">
        <v>104</v>
      </c>
    </row>
    <row r="41" spans="1:1" x14ac:dyDescent="0.25">
      <c r="A41" t="s">
        <v>106</v>
      </c>
    </row>
    <row r="42" spans="1:1" x14ac:dyDescent="0.25">
      <c r="A42" t="s">
        <v>107</v>
      </c>
    </row>
    <row r="43" spans="1:1" x14ac:dyDescent="0.25">
      <c r="A4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34F3-73ED-43FE-BB76-142AD1DF3CBD}">
  <dimension ref="A1:I18"/>
  <sheetViews>
    <sheetView workbookViewId="0">
      <selection activeCell="E22" sqref="E22"/>
    </sheetView>
  </sheetViews>
  <sheetFormatPr defaultRowHeight="15" x14ac:dyDescent="0.25"/>
  <cols>
    <col min="1" max="2" width="9.140625" style="1"/>
    <col min="3" max="3" width="16.85546875" customWidth="1"/>
    <col min="4" max="4" width="9.140625" style="1"/>
    <col min="5" max="5" width="15.5703125" style="1" customWidth="1"/>
    <col min="6" max="6" width="13.42578125" style="1" bestFit="1" customWidth="1"/>
    <col min="7" max="7" width="9.7109375" style="1" bestFit="1" customWidth="1"/>
    <col min="8" max="8" width="9.140625" style="1"/>
    <col min="9" max="9" width="54.85546875" style="1" bestFit="1" customWidth="1"/>
  </cols>
  <sheetData>
    <row r="1" spans="1:9" x14ac:dyDescent="0.25">
      <c r="A1" s="4" t="s">
        <v>9</v>
      </c>
      <c r="E1" t="s">
        <v>15</v>
      </c>
    </row>
    <row r="2" spans="1:9" x14ac:dyDescent="0.25">
      <c r="A2" s="1" t="s">
        <v>13</v>
      </c>
      <c r="B2" s="1" t="s">
        <v>2</v>
      </c>
      <c r="C2" t="s">
        <v>121</v>
      </c>
      <c r="D2" s="1" t="s">
        <v>10</v>
      </c>
      <c r="E2" s="1" t="s">
        <v>16</v>
      </c>
      <c r="F2" s="1" t="s">
        <v>14</v>
      </c>
      <c r="G2" s="1" t="s">
        <v>17</v>
      </c>
      <c r="H2" s="1" t="s">
        <v>11</v>
      </c>
      <c r="I2" s="1" t="s">
        <v>12</v>
      </c>
    </row>
    <row r="3" spans="1:9" x14ac:dyDescent="0.25">
      <c r="A3" s="1">
        <v>135</v>
      </c>
      <c r="B3" s="1" t="s">
        <v>19</v>
      </c>
      <c r="C3" t="s">
        <v>120</v>
      </c>
      <c r="D3" s="1">
        <v>1</v>
      </c>
      <c r="E3" s="1" t="s">
        <v>20</v>
      </c>
      <c r="F3" s="3">
        <v>44236</v>
      </c>
      <c r="G3" s="3">
        <v>44250</v>
      </c>
      <c r="H3" s="1">
        <v>7676</v>
      </c>
      <c r="I3" s="1" t="s">
        <v>18</v>
      </c>
    </row>
    <row r="4" spans="1:9" x14ac:dyDescent="0.25">
      <c r="A4" s="1">
        <v>136</v>
      </c>
      <c r="B4" s="1" t="s">
        <v>19</v>
      </c>
      <c r="C4" t="s">
        <v>120</v>
      </c>
      <c r="D4" s="1">
        <v>1</v>
      </c>
      <c r="E4" s="1" t="s">
        <v>20</v>
      </c>
      <c r="F4" s="3">
        <v>44236</v>
      </c>
      <c r="G4" s="3">
        <v>44250</v>
      </c>
      <c r="H4" s="1">
        <v>7676</v>
      </c>
      <c r="I4" s="1" t="s">
        <v>18</v>
      </c>
    </row>
    <row r="5" spans="1:9" x14ac:dyDescent="0.25">
      <c r="A5" s="1">
        <v>137</v>
      </c>
      <c r="B5" s="1" t="s">
        <v>19</v>
      </c>
      <c r="C5" t="s">
        <v>120</v>
      </c>
      <c r="D5" s="1">
        <v>1</v>
      </c>
      <c r="E5" s="1" t="s">
        <v>20</v>
      </c>
      <c r="F5" s="3">
        <v>44236</v>
      </c>
      <c r="G5" s="3">
        <v>44250</v>
      </c>
      <c r="H5" s="1">
        <v>7676</v>
      </c>
      <c r="I5" s="1" t="s">
        <v>18</v>
      </c>
    </row>
    <row r="6" spans="1:9" x14ac:dyDescent="0.25">
      <c r="A6" s="1">
        <v>138</v>
      </c>
      <c r="B6" s="1" t="s">
        <v>21</v>
      </c>
      <c r="C6" t="s">
        <v>120</v>
      </c>
      <c r="D6" s="1">
        <v>1</v>
      </c>
      <c r="E6" s="1" t="s">
        <v>20</v>
      </c>
      <c r="F6" s="3">
        <v>44236</v>
      </c>
      <c r="G6" s="3">
        <v>44250</v>
      </c>
      <c r="H6" s="1">
        <v>7676</v>
      </c>
      <c r="I6" s="1" t="s">
        <v>18</v>
      </c>
    </row>
    <row r="7" spans="1:9" x14ac:dyDescent="0.25">
      <c r="A7" s="1">
        <v>139</v>
      </c>
      <c r="B7" s="1" t="s">
        <v>21</v>
      </c>
      <c r="C7" t="s">
        <v>120</v>
      </c>
      <c r="D7" s="1">
        <v>1</v>
      </c>
      <c r="E7" s="1" t="s">
        <v>20</v>
      </c>
      <c r="F7" s="3">
        <v>44236</v>
      </c>
      <c r="G7" s="3">
        <v>44250</v>
      </c>
      <c r="H7" s="1">
        <v>7676</v>
      </c>
      <c r="I7" s="1" t="s">
        <v>18</v>
      </c>
    </row>
    <row r="8" spans="1:9" x14ac:dyDescent="0.25">
      <c r="A8" s="1">
        <v>140</v>
      </c>
      <c r="B8" s="1" t="s">
        <v>21</v>
      </c>
      <c r="C8" t="s">
        <v>120</v>
      </c>
      <c r="D8" s="1">
        <v>1</v>
      </c>
      <c r="E8" s="1" t="s">
        <v>20</v>
      </c>
      <c r="F8" s="3">
        <v>44236</v>
      </c>
      <c r="G8" s="3">
        <v>44250</v>
      </c>
      <c r="H8" s="1">
        <v>7676</v>
      </c>
      <c r="I8" s="1" t="s">
        <v>18</v>
      </c>
    </row>
    <row r="9" spans="1:9" x14ac:dyDescent="0.25">
      <c r="A9" s="1">
        <v>141</v>
      </c>
      <c r="B9" s="1" t="s">
        <v>19</v>
      </c>
      <c r="C9" t="s">
        <v>25</v>
      </c>
      <c r="D9" s="1">
        <v>2</v>
      </c>
      <c r="E9" s="1" t="s">
        <v>20</v>
      </c>
      <c r="F9" s="3">
        <v>44239</v>
      </c>
      <c r="G9" s="3">
        <v>44253</v>
      </c>
      <c r="H9" s="1">
        <v>7676</v>
      </c>
      <c r="I9" s="1" t="s">
        <v>18</v>
      </c>
    </row>
    <row r="10" spans="1:9" x14ac:dyDescent="0.25">
      <c r="A10" s="1">
        <v>142</v>
      </c>
      <c r="B10" s="1" t="s">
        <v>19</v>
      </c>
      <c r="C10" t="s">
        <v>25</v>
      </c>
      <c r="D10" s="1">
        <v>2</v>
      </c>
      <c r="E10" s="1" t="s">
        <v>20</v>
      </c>
      <c r="F10" s="3">
        <v>44239</v>
      </c>
      <c r="G10" s="3">
        <v>44253</v>
      </c>
      <c r="H10" s="1">
        <v>7676</v>
      </c>
      <c r="I10" s="1" t="s">
        <v>18</v>
      </c>
    </row>
    <row r="11" spans="1:9" x14ac:dyDescent="0.25">
      <c r="A11" s="1">
        <v>143</v>
      </c>
      <c r="B11" s="1" t="s">
        <v>19</v>
      </c>
      <c r="C11" t="s">
        <v>25</v>
      </c>
      <c r="D11" s="1">
        <v>2</v>
      </c>
      <c r="E11" s="1" t="s">
        <v>20</v>
      </c>
      <c r="F11" s="3">
        <v>44239</v>
      </c>
      <c r="G11" s="3">
        <v>44253</v>
      </c>
      <c r="H11" s="1">
        <v>7676</v>
      </c>
      <c r="I11" s="1" t="s">
        <v>18</v>
      </c>
    </row>
    <row r="12" spans="1:9" x14ac:dyDescent="0.25">
      <c r="A12" s="1">
        <v>144</v>
      </c>
      <c r="B12" s="1" t="s">
        <v>21</v>
      </c>
      <c r="C12" t="s">
        <v>25</v>
      </c>
      <c r="D12" s="1">
        <v>2</v>
      </c>
      <c r="E12" s="1" t="s">
        <v>20</v>
      </c>
      <c r="F12" s="3">
        <v>44239</v>
      </c>
      <c r="G12" s="3">
        <v>44253</v>
      </c>
      <c r="H12" s="1">
        <v>7676</v>
      </c>
      <c r="I12" s="1" t="s">
        <v>18</v>
      </c>
    </row>
    <row r="13" spans="1:9" x14ac:dyDescent="0.25">
      <c r="A13" s="1">
        <v>145</v>
      </c>
      <c r="B13" s="1" t="s">
        <v>21</v>
      </c>
      <c r="C13" t="s">
        <v>25</v>
      </c>
      <c r="D13" s="1">
        <v>2</v>
      </c>
      <c r="E13" s="1" t="s">
        <v>20</v>
      </c>
      <c r="F13" s="3">
        <v>44239</v>
      </c>
      <c r="G13" s="3">
        <v>44253</v>
      </c>
      <c r="H13" s="1">
        <v>7676</v>
      </c>
      <c r="I13" s="1" t="s">
        <v>18</v>
      </c>
    </row>
    <row r="14" spans="1:9" x14ac:dyDescent="0.25">
      <c r="A14" s="1">
        <v>146</v>
      </c>
      <c r="B14" s="1" t="s">
        <v>21</v>
      </c>
      <c r="C14" t="s">
        <v>25</v>
      </c>
      <c r="D14" s="1">
        <v>2</v>
      </c>
      <c r="E14" s="1" t="s">
        <v>20</v>
      </c>
      <c r="F14" s="3">
        <v>44239</v>
      </c>
      <c r="G14" s="3">
        <v>44253</v>
      </c>
      <c r="H14" s="1">
        <v>7676</v>
      </c>
      <c r="I14" s="1" t="s">
        <v>18</v>
      </c>
    </row>
    <row r="15" spans="1:9" x14ac:dyDescent="0.25">
      <c r="E15" t="s">
        <v>22</v>
      </c>
    </row>
    <row r="17" spans="1:1" x14ac:dyDescent="0.25">
      <c r="A17" s="4" t="s">
        <v>23</v>
      </c>
    </row>
    <row r="18" spans="1:1" x14ac:dyDescent="0.25">
      <c r="A18" s="4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B0B740ECD7F418164696BD5D45C61" ma:contentTypeVersion="16" ma:contentTypeDescription="Create a new document." ma:contentTypeScope="" ma:versionID="a5c5d7a47d49c3a9e8877a8f98704af3">
  <xsd:schema xmlns:xsd="http://www.w3.org/2001/XMLSchema" xmlns:xs="http://www.w3.org/2001/XMLSchema" xmlns:p="http://schemas.microsoft.com/office/2006/metadata/properties" xmlns:ns2="1ede3b14-c407-4f78-a408-31a7f74c0476" xmlns:ns3="6d9280eb-d935-48c4-a9fd-fd18a0df2635" targetNamespace="http://schemas.microsoft.com/office/2006/metadata/properties" ma:root="true" ma:fieldsID="010a9214fda009d5579bf84dd4bef4df" ns2:_="" ns3:_="">
    <xsd:import namespace="1ede3b14-c407-4f78-a408-31a7f74c0476"/>
    <xsd:import namespace="6d9280eb-d935-48c4-a9fd-fd18a0df26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e3b14-c407-4f78-a408-31a7f74c0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ff210b-1a75-4f95-bf42-e73e2711a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280eb-d935-48c4-a9fd-fd18a0df263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c67233-d297-4e01-a813-c986068440d3}" ma:internalName="TaxCatchAll" ma:showField="CatchAllData" ma:web="6d9280eb-d935-48c4-a9fd-fd18a0df26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de3b14-c407-4f78-a408-31a7f74c0476">
      <Terms xmlns="http://schemas.microsoft.com/office/infopath/2007/PartnerControls"/>
    </lcf76f155ced4ddcb4097134ff3c332f>
    <TaxCatchAll xmlns="6d9280eb-d935-48c4-a9fd-fd18a0df2635" xsi:nil="true"/>
  </documentManagement>
</p:properties>
</file>

<file path=customXml/itemProps1.xml><?xml version="1.0" encoding="utf-8"?>
<ds:datastoreItem xmlns:ds="http://schemas.openxmlformats.org/officeDocument/2006/customXml" ds:itemID="{4399F706-18F2-43B9-96D4-F1F6D17EDCB4}"/>
</file>

<file path=customXml/itemProps2.xml><?xml version="1.0" encoding="utf-8"?>
<ds:datastoreItem xmlns:ds="http://schemas.openxmlformats.org/officeDocument/2006/customXml" ds:itemID="{D9F4B04F-3DA3-4DBA-98B4-3E972A32ECAC}"/>
</file>

<file path=customXml/itemProps3.xml><?xml version="1.0" encoding="utf-8"?>
<ds:datastoreItem xmlns:ds="http://schemas.openxmlformats.org/officeDocument/2006/customXml" ds:itemID="{0F717C30-21FB-4EB7-9B63-6EDB132742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Summary</vt:lpstr>
      <vt:lpstr>Scoring Sheet</vt:lpstr>
      <vt:lpstr>Slide Mounting Exp</vt:lpstr>
      <vt:lpstr>FIJI Scoring Info</vt:lpstr>
      <vt:lpstr>Injection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Snow</dc:creator>
  <cp:lastModifiedBy>Kathy Snow</cp:lastModifiedBy>
  <dcterms:created xsi:type="dcterms:W3CDTF">2021-03-28T22:16:13Z</dcterms:created>
  <dcterms:modified xsi:type="dcterms:W3CDTF">2021-08-31T20:14:50Z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0x010100176B0B740ECD7F418164696BD5D45C61</vt:lpwstr>
  </property>
</Properties>
</file>